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https://fwpgovch.sharepoint.com/sites/BAV_PRJ_T-BAV-FI/Freigegebene Dokumente/ESöV 2050/Berichte und Leitfäden/P-280/"/>
    </mc:Choice>
  </mc:AlternateContent>
  <xr:revisionPtr revIDLastSave="0" documentId="8_{E0F44070-952F-4FFB-B45E-9FDAF06810F1}" xr6:coauthVersionLast="47" xr6:coauthVersionMax="47" xr10:uidLastSave="{00000000-0000-0000-0000-000000000000}"/>
  <bookViews>
    <workbookView xWindow="10875" yWindow="975" windowWidth="26325" windowHeight="17340" tabRatio="697" activeTab="6" xr2:uid="{00000000-000D-0000-FFFF-FFFF00000000}"/>
  </bookViews>
  <sheets>
    <sheet name="Info" sheetId="13" r:id="rId1"/>
    <sheet name="Eingabe" sheetId="10" r:id="rId2"/>
    <sheet name="Verbrauch pro km MaxBel" sheetId="2" r:id="rId3"/>
    <sheet name="Eruierung Batterie MaxBel" sheetId="3" r:id="rId4"/>
    <sheet name="Verbrauch pro km Sommer" sheetId="8" r:id="rId5"/>
    <sheet name="Eruierung Batterie Sommer" sheetId="12" r:id="rId6"/>
    <sheet name="Anforderungsliste" sheetId="6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2" l="1"/>
  <c r="B7" i="6"/>
  <c r="B5" i="12"/>
  <c r="E6" i="8"/>
  <c r="E6" i="2"/>
  <c r="C5" i="10" l="1"/>
  <c r="C6" i="10"/>
  <c r="C4" i="10"/>
  <c r="C10" i="10"/>
  <c r="C9" i="10"/>
  <c r="C14" i="10"/>
  <c r="C15" i="10"/>
  <c r="C13" i="10"/>
  <c r="C19" i="10"/>
  <c r="C20" i="10"/>
  <c r="C21" i="10"/>
  <c r="C22" i="10"/>
  <c r="B27" i="2" l="1"/>
  <c r="B26" i="8"/>
  <c r="C16" i="10"/>
  <c r="B17" i="8"/>
  <c r="B16" i="8"/>
  <c r="B11" i="8"/>
  <c r="B8" i="8"/>
  <c r="B7" i="8"/>
  <c r="B6" i="8"/>
  <c r="B5" i="8"/>
  <c r="B12" i="8" l="1"/>
  <c r="B13" i="8"/>
  <c r="B14" i="2" l="1"/>
  <c r="B16" i="10"/>
  <c r="B8" i="6" l="1"/>
  <c r="B9" i="6" s="1"/>
  <c r="B18" i="12"/>
  <c r="B20" i="12" s="1"/>
  <c r="B25" i="3"/>
  <c r="B27" i="3" s="1"/>
  <c r="B18" i="6" s="1"/>
  <c r="B22" i="2" l="1"/>
  <c r="B21" i="2"/>
  <c r="B18" i="2"/>
  <c r="B17" i="2"/>
  <c r="B11" i="2"/>
  <c r="D14" i="2" s="1"/>
  <c r="B8" i="2"/>
  <c r="B5" i="2"/>
  <c r="B4" i="12" l="1"/>
  <c r="B6" i="12" s="1"/>
  <c r="B4" i="3"/>
  <c r="D17" i="8"/>
  <c r="D18" i="2"/>
  <c r="D7" i="2" l="1"/>
  <c r="D21" i="8" l="1"/>
  <c r="D23" i="2"/>
  <c r="E22" i="8"/>
  <c r="B28" i="8" s="1"/>
  <c r="D20" i="8"/>
  <c r="D19" i="8"/>
  <c r="D8" i="8"/>
  <c r="D7" i="8"/>
  <c r="D22" i="8" l="1"/>
  <c r="B7" i="12" l="1"/>
  <c r="B27" i="8"/>
  <c r="D21" i="2"/>
  <c r="D22" i="2"/>
  <c r="E24" i="2"/>
  <c r="B14" i="6" l="1"/>
  <c r="B14" i="12"/>
  <c r="B15" i="12" s="1"/>
  <c r="B15" i="6" s="1"/>
  <c r="B13" i="2"/>
  <c r="D8" i="2"/>
  <c r="D24" i="2" s="1"/>
  <c r="B12" i="2"/>
  <c r="B28" i="2" l="1"/>
  <c r="B29" i="2" l="1"/>
  <c r="B5" i="3" s="1"/>
  <c r="B6" i="3" s="1"/>
  <c r="B13" i="3" l="1"/>
  <c r="B14" i="3" s="1"/>
  <c r="B19" i="3"/>
  <c r="B21" i="3" s="1"/>
  <c r="B22" i="3" s="1"/>
  <c r="B13" i="6" s="1"/>
  <c r="B12" i="6"/>
</calcChain>
</file>

<file path=xl/sharedStrings.xml><?xml version="1.0" encoding="utf-8"?>
<sst xmlns="http://schemas.openxmlformats.org/spreadsheetml/2006/main" count="277" uniqueCount="153">
  <si>
    <t>Fahrzeuglänge</t>
  </si>
  <si>
    <t>Steigung Durchschnitt</t>
  </si>
  <si>
    <t>Gefahrene Kilometer</t>
  </si>
  <si>
    <t>Minimale Außentemperatur</t>
  </si>
  <si>
    <t>Tagesbedarf km</t>
  </si>
  <si>
    <t>kWh</t>
  </si>
  <si>
    <t>Strecke Einfach</t>
  </si>
  <si>
    <t>Tageswerte</t>
  </si>
  <si>
    <t>Streckenumläufe pro Tag</t>
  </si>
  <si>
    <t>cm</t>
  </si>
  <si>
    <t>Grad</t>
  </si>
  <si>
    <t>Wert</t>
  </si>
  <si>
    <t>Einheit</t>
  </si>
  <si>
    <t>Verbrauchssteigerung in %</t>
  </si>
  <si>
    <t>kWh / km</t>
  </si>
  <si>
    <t>km</t>
  </si>
  <si>
    <t>SUMME</t>
  </si>
  <si>
    <t>kalkulierte Strommenge Zwischenladung</t>
  </si>
  <si>
    <t>Geschwindigkeit Durchschnitt (ohne Stops)</t>
  </si>
  <si>
    <t>kW</t>
  </si>
  <si>
    <t>Anzahl Zwischenhalte</t>
  </si>
  <si>
    <t>in kWh</t>
  </si>
  <si>
    <t>Zwischenladungen</t>
  </si>
  <si>
    <t>Ausgangsbasis Grundverbrauch in kWh / km Schnitt</t>
  </si>
  <si>
    <t>Position</t>
  </si>
  <si>
    <t>Gewünschter Wert</t>
  </si>
  <si>
    <t>Toleranz</t>
  </si>
  <si>
    <t xml:space="preserve">Dauerleistung </t>
  </si>
  <si>
    <t>+ 30 kW</t>
  </si>
  <si>
    <t>Motor</t>
  </si>
  <si>
    <t>obligatorisch</t>
  </si>
  <si>
    <t>oder mehr</t>
  </si>
  <si>
    <t>oder weniger</t>
  </si>
  <si>
    <t>Zulässiges Gesamtgewicht</t>
  </si>
  <si>
    <t>oder höherer Wert</t>
  </si>
  <si>
    <t xml:space="preserve">Leergewicht </t>
  </si>
  <si>
    <t>Gewicht</t>
  </si>
  <si>
    <t>12m Busse haben Dauerleistung von ca 185kW, und müssen mindestens doppelt so viel Gewicht bewegen</t>
  </si>
  <si>
    <t>Trifft auf maximal 60 Tagen - 1/6 des Jahres zu</t>
  </si>
  <si>
    <t>%</t>
  </si>
  <si>
    <t>Bezieht sich auf eine Jahresschnittannahme für ein Standardfahrzeug der angegebenen Fahrzeuglänge in Busbetrieben (z.b. Stadtverkehr)</t>
  </si>
  <si>
    <t>m</t>
  </si>
  <si>
    <t>t</t>
  </si>
  <si>
    <t>pro Tag</t>
  </si>
  <si>
    <t>Halte</t>
  </si>
  <si>
    <t>km/h</t>
  </si>
  <si>
    <t>Halt</t>
  </si>
  <si>
    <t>Abschnitte</t>
  </si>
  <si>
    <t xml:space="preserve">Abschnitt durchschnittliche Länge </t>
  </si>
  <si>
    <t>J - km</t>
  </si>
  <si>
    <t>8 - 200.000</t>
  </si>
  <si>
    <t>Jahre bzw Kilometer - üblich: Gültigkeit solange bis einer der beiden Werte erreicht ist</t>
  </si>
  <si>
    <t>inklusive reduzierte Rekuperation auf Schneefahrbahn im Winter</t>
  </si>
  <si>
    <t>Abstimmung: -15°C nur mehr ganz selten, Tendenz: wärmer &amp; Durchschnitt Berg/Tal - bereits jetzt keine -15°C mehr</t>
  </si>
  <si>
    <t>Wird zum Teil durch Rekuperation Rückgewonnen</t>
  </si>
  <si>
    <t>Umläufe</t>
  </si>
  <si>
    <t>Gefahrene Kilometer pro Umlauf</t>
  </si>
  <si>
    <t>SOC</t>
  </si>
  <si>
    <t xml:space="preserve">8 Runden a 21,6 km </t>
  </si>
  <si>
    <t>Fahrbahnoberfläche - Eigenschaften</t>
  </si>
  <si>
    <t>Fahrbahneigenschaften (Schneehöhe)</t>
  </si>
  <si>
    <t>Fahrbahneigenschaften (Schotter)</t>
  </si>
  <si>
    <t>Ja = 1 / Nein =0)</t>
  </si>
  <si>
    <t>Reduzierte Rekuperation auf Schotterstrasse im Vergleich zu Asphalt (bei Schneefahrbahn = nicht relevant)</t>
  </si>
  <si>
    <t>Trifft auf 7-8 Monate im Jahr zu</t>
  </si>
  <si>
    <t>Benötigte Batteriekapazität inkl. 80% Zwischenladung</t>
  </si>
  <si>
    <t>Garantierte Batterie Rest-Kapazität einer Batterie-Zelle bezogen auf ursprüngliche Nominalkapazität - Reale Vergleichsforschung: 1,8% / Jahr = 14,4% in 8 Jahren</t>
  </si>
  <si>
    <t>Ideal inklusive Gepäcksbox</t>
  </si>
  <si>
    <t>Inklusive Anhängerlast von 1 000 kg</t>
  </si>
  <si>
    <t>Wird zum Teil durch Rekuperation bergab Rückgewonnen</t>
  </si>
  <si>
    <t xml:space="preserve">ÖV-Strecken meist höhere Geschwindigkeiten, bei über 45km/h </t>
  </si>
  <si>
    <t>Minimale Aussentemperatur</t>
  </si>
  <si>
    <t>Garantien &amp; Service</t>
  </si>
  <si>
    <t>Antrieb 80% SOH - State of Health</t>
  </si>
  <si>
    <t>Besonders lange Streckenabschnitte bergauf</t>
  </si>
  <si>
    <t>ÖV-Strecken meist höhere Geschwindigkeiten: Standardwert = 45km/h</t>
  </si>
  <si>
    <t>Mögliche Zwischenladezeiten (ZL-Zeiten)</t>
  </si>
  <si>
    <t>Annahme 10 kWh / Liter Diesel, 6 Liter Verbrauch pro Umlauf im Sommer. Annahme Verbrenner System-Effizienz von 32% ergibt effektiv 0,89 kWh/km</t>
  </si>
  <si>
    <t>Annahme 10 kWh / Liter Diesel, 11 Liter Verbrauch pro Umlauf in Extremsituation. Annahme Verbrenner System-</t>
  </si>
  <si>
    <t>Effizienz von 27% ergibt effektiv 1,375 kWh/km</t>
  </si>
  <si>
    <t>Inkludiert Abschlag Energieverbrauch pro Umlauf durch wenige Zwischenhalte + Aufschlag Hänger/Pflug</t>
  </si>
  <si>
    <t>Daten zur Strecke</t>
  </si>
  <si>
    <t>Daten zum Fahrplan</t>
  </si>
  <si>
    <t>Klimatische Bedingungen</t>
  </si>
  <si>
    <t>Fahrzeugeigenschaften</t>
  </si>
  <si>
    <t>Bemerkungen</t>
  </si>
  <si>
    <t>Tabellenblatt zur Eingabe</t>
  </si>
  <si>
    <t>Schotterfahrbahn</t>
  </si>
  <si>
    <t>Schneehöhe auf der Fahrbahn</t>
  </si>
  <si>
    <r>
      <t>Anzahl (</t>
    </r>
    <r>
      <rPr>
        <sz val="12"/>
        <color theme="1"/>
        <rFont val="Calibri"/>
        <family val="2"/>
      </rPr>
      <t>Ø</t>
    </r>
    <r>
      <rPr>
        <sz val="16.100000000000001"/>
        <color theme="1"/>
        <rFont val="Calibri"/>
        <family val="2"/>
      </rPr>
      <t xml:space="preserve"> </t>
    </r>
    <r>
      <rPr>
        <sz val="12"/>
        <color theme="1"/>
        <rFont val="Calibri"/>
        <family val="2"/>
      </rPr>
      <t>≥ 8%)</t>
    </r>
  </si>
  <si>
    <t>Abschnitt-e</t>
  </si>
  <si>
    <t>Umläufe mit Pflug, Anhänger etc.</t>
  </si>
  <si>
    <t>Ja = 1 / Nein = 0</t>
  </si>
  <si>
    <t>Daten zum Bus</t>
  </si>
  <si>
    <t>Anzahl (Ø ≥ 8%)</t>
  </si>
  <si>
    <t>In der Berechnung sind 50 Wh pro standard-Stop angenommen (für AC), für Normverbrauch werden ca. 3 Stopps pro km im ÖV gerechnet</t>
  </si>
  <si>
    <t>Heuberge: 21,6 km Berg und Talfahrt von Fideris Saga nach Berghaus Arflina</t>
  </si>
  <si>
    <t>Berghaus Arflina ist stets der einzige Halt (bereits in die Zukunft projeziert)</t>
  </si>
  <si>
    <t>Reduzierte Rekuperation auf Schotterstrasse im Vergleich zu Asphalt - nur für Sommer Berechnung relevant</t>
  </si>
  <si>
    <t>Winter</t>
  </si>
  <si>
    <t>Sommer</t>
  </si>
  <si>
    <t>Personen</t>
  </si>
  <si>
    <t>Max. Passagierzahl mit Gepäck</t>
  </si>
  <si>
    <t>Maximales Totalgewicht</t>
  </si>
  <si>
    <t>75 kg / Passagier + Fahrer (1 725 kg) + bis zu 10 kg Gepäck pro Person</t>
  </si>
  <si>
    <t>60% Mehrverbrauch pro Umlauf</t>
  </si>
  <si>
    <t>Anzahl Umläufe mit Pflug</t>
  </si>
  <si>
    <t>In der Berechnung sind 75 Wh pro Standard-Stop angenommen, im Normverbrauch sind ca. 3 Stopps pro km im ÖV gerechnet</t>
  </si>
  <si>
    <t>Gewünschte verwendete Motorleistung</t>
  </si>
  <si>
    <t>Vorgabe Dauerleistung</t>
  </si>
  <si>
    <t>Benötigte Kapazität inkl. Degration</t>
  </si>
  <si>
    <t>Menge Zwischenladung in % SOC</t>
  </si>
  <si>
    <t>Verbrauch auf Strecke (MaxBel)</t>
  </si>
  <si>
    <t>Vergleichsrechnung Dieselverbrauch (MaxBel)</t>
  </si>
  <si>
    <t>Verbrauch auf Strecke (MaxBel) - inklusive Abschlag Halte</t>
  </si>
  <si>
    <t>Berechnung des Tagesenergebedarf eines Busses</t>
  </si>
  <si>
    <t>Zwischenladung zur Mittagszeit (+80% Ladestand-SOC-Erhöhung)</t>
  </si>
  <si>
    <t>Berechnung der Dauerleistung</t>
  </si>
  <si>
    <t>Berechneter Wert mittels Formel</t>
  </si>
  <si>
    <t>Maximale Steigung</t>
  </si>
  <si>
    <t>Geschwindigkeit an steilster Stelle</t>
  </si>
  <si>
    <t>Verbrauch auf Strecke (Sommer)</t>
  </si>
  <si>
    <t>Benötigte Kapazität inkl. Degration ohne Zwischenladung</t>
  </si>
  <si>
    <t>Daten für die Anforderungsliste</t>
  </si>
  <si>
    <t xml:space="preserve">Nachfolgende Tabelle umfasst die berechneten Werte, welche in die Anforderungsliste übertragen werden können. </t>
  </si>
  <si>
    <t>75 kg / Passagier + Fahrer + bis zu 10 kg Gepäck pro Person, grosszügig aufrunden sinnvoll</t>
  </si>
  <si>
    <t>Gesamtgewicht inkl. Anhängerlast</t>
  </si>
  <si>
    <t>Batterie inkl. Batteriedegradation</t>
  </si>
  <si>
    <t>In extremen Zeiten (kalt&amp;viele Umläufe): Annahme Laden zu Mittag +80% und Nutzung Hänger / Pflug 3 Mal pro Tag</t>
  </si>
  <si>
    <t>Die Sommerwerte dienen zur Information, was während dieser Zeit notwendig ist.</t>
  </si>
  <si>
    <t>Tagesenergiebedarf</t>
  </si>
  <si>
    <t>Berechnung Verprauch pro Kilometer im MaxBel-Szenario</t>
  </si>
  <si>
    <t>Berechnung Verprauch pro Kilometer im Sommer</t>
  </si>
  <si>
    <t>Notizen</t>
  </si>
  <si>
    <t>Vergleichsrechnung Dieselverbrauch (Sommer)</t>
  </si>
  <si>
    <t>Weitere Zwischenladung von 25 kWh</t>
  </si>
  <si>
    <t>Benötigte Batteriekapazität inkl. 80% Zwischenladung und 25 kWh-Ladung</t>
  </si>
  <si>
    <t>Berechnung der Batteriekapazität</t>
  </si>
  <si>
    <t>Berechnung des Tagesenergiebedarf eines Busses</t>
  </si>
  <si>
    <t>Im Winter bei Schneefahrbahn nicht relevant. Für Sommer-Energieberechnung relevant.</t>
  </si>
  <si>
    <t>Weitere Faktoren</t>
  </si>
  <si>
    <t>Summe</t>
  </si>
  <si>
    <t>Eruierung der benötigten Batteriegrösse im MaxBel-Szenario</t>
  </si>
  <si>
    <t>Zusätzliche Zwischenladung (+25 kWh über Schnellladegerät)</t>
  </si>
  <si>
    <t>Eruierung der benötigten Batteriegrösse im Sommer</t>
  </si>
  <si>
    <t>Verbrauch auf Strecke (Sommer) - inklusive Abschlag Halte</t>
  </si>
  <si>
    <t>80 % Zwischenladung</t>
  </si>
  <si>
    <t>80% Zwischenladung und weitere Ladung von 25 kWh im MaxBel-Szenario</t>
  </si>
  <si>
    <t>Im Sommer keine Notwendigkeit für Pflug oder Gepäckanhänger für Reisegepäck.</t>
  </si>
  <si>
    <t>Batteriekapazität für MaxBel mit 80% SOC-Ladung</t>
  </si>
  <si>
    <t>Batteriekapazität für MaxBel mit 80% SOC- und 25 kWh-Ladung</t>
  </si>
  <si>
    <t>Batteriekapazität für Sommer ohne Ladung</t>
  </si>
  <si>
    <t>Batteriekapazität für Sommer mit 80% SOC-Ladung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</si>
</sst>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</font>
    <font>
      <sz val="16.100000000000001"/>
      <color theme="1"/>
      <name val="Calibri"/>
      <family val="2"/>
    </font>
    <font>
      <b/>
      <i/>
      <sz val="12"/>
      <color theme="1"/>
      <name val="Calibri"/>
      <family val="2"/>
      <scheme val="minor"/>
    </font>
    <font>
      <sz val="12"/>
      <color theme="1" tint="0.499984740745262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9E9E8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49" fontId="3" fillId="0" borderId="0" xfId="0" applyNumberFormat="1" applyFont="1" applyAlignment="1">
      <alignment horizontal="right"/>
    </xf>
    <xf numFmtId="0" fontId="5" fillId="0" borderId="0" xfId="0" applyFont="1"/>
    <xf numFmtId="1" fontId="5" fillId="0" borderId="0" xfId="0" applyNumberFormat="1" applyFont="1"/>
    <xf numFmtId="0" fontId="6" fillId="0" borderId="0" xfId="0" applyFont="1"/>
    <xf numFmtId="0" fontId="0" fillId="2" borderId="0" xfId="0" applyFill="1"/>
    <xf numFmtId="9" fontId="0" fillId="2" borderId="0" xfId="0" applyNumberFormat="1" applyFill="1"/>
    <xf numFmtId="0" fontId="0" fillId="2" borderId="0" xfId="0" applyFill="1" applyAlignment="1">
      <alignment horizontal="right"/>
    </xf>
    <xf numFmtId="0" fontId="10" fillId="0" borderId="0" xfId="0" applyFont="1"/>
    <xf numFmtId="9" fontId="5" fillId="0" borderId="0" xfId="1" applyFont="1"/>
    <xf numFmtId="9" fontId="0" fillId="0" borderId="0" xfId="0" applyNumberFormat="1"/>
    <xf numFmtId="1" fontId="2" fillId="0" borderId="0" xfId="0" applyNumberFormat="1" applyFont="1"/>
    <xf numFmtId="0" fontId="4" fillId="0" borderId="0" xfId="0" applyFont="1"/>
    <xf numFmtId="0" fontId="9" fillId="0" borderId="0" xfId="0" applyFont="1"/>
    <xf numFmtId="0" fontId="0" fillId="2" borderId="0" xfId="1" applyNumberFormat="1" applyFont="1" applyFill="1"/>
    <xf numFmtId="0" fontId="11" fillId="0" borderId="0" xfId="0" applyFont="1"/>
    <xf numFmtId="9" fontId="0" fillId="0" borderId="0" xfId="1" applyFont="1" applyFill="1"/>
    <xf numFmtId="1" fontId="0" fillId="2" borderId="0" xfId="0" applyNumberFormat="1" applyFill="1"/>
    <xf numFmtId="1" fontId="1" fillId="2" borderId="0" xfId="1" applyNumberFormat="1" applyFont="1" applyFill="1"/>
    <xf numFmtId="2" fontId="0" fillId="0" borderId="0" xfId="0" applyNumberFormat="1"/>
    <xf numFmtId="1" fontId="6" fillId="0" borderId="0" xfId="0" applyNumberFormat="1" applyFont="1"/>
    <xf numFmtId="0" fontId="2" fillId="2" borderId="0" xfId="0" applyFont="1" applyFill="1"/>
    <xf numFmtId="1" fontId="0" fillId="2" borderId="0" xfId="1" applyNumberFormat="1" applyFont="1" applyFill="1"/>
    <xf numFmtId="164" fontId="0" fillId="0" borderId="0" xfId="0" applyNumberFormat="1"/>
    <xf numFmtId="9" fontId="1" fillId="2" borderId="0" xfId="1" applyFont="1" applyFill="1"/>
    <xf numFmtId="9" fontId="1" fillId="0" borderId="0" xfId="1" applyFont="1" applyFill="1"/>
    <xf numFmtId="9" fontId="2" fillId="2" borderId="0" xfId="1" applyFont="1" applyFill="1"/>
    <xf numFmtId="165" fontId="2" fillId="2" borderId="0" xfId="1" applyNumberFormat="1" applyFont="1" applyFill="1"/>
    <xf numFmtId="165" fontId="0" fillId="2" borderId="0" xfId="0" applyNumberFormat="1" applyFill="1"/>
    <xf numFmtId="165" fontId="1" fillId="2" borderId="0" xfId="1" applyNumberFormat="1" applyFont="1" applyFill="1"/>
    <xf numFmtId="2" fontId="0" fillId="2" borderId="0" xfId="0" applyNumberFormat="1" applyFill="1"/>
    <xf numFmtId="1" fontId="0" fillId="0" borderId="0" xfId="0" applyNumberFormat="1" applyAlignment="1">
      <alignment horizontal="right"/>
    </xf>
    <xf numFmtId="0" fontId="12" fillId="0" borderId="0" xfId="0" applyFont="1"/>
    <xf numFmtId="0" fontId="0" fillId="0" borderId="0" xfId="0" applyAlignment="1">
      <alignment horizontal="center" vertical="center" wrapText="1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C9E9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0</xdr:row>
      <xdr:rowOff>190500</xdr:rowOff>
    </xdr:from>
    <xdr:to>
      <xdr:col>10</xdr:col>
      <xdr:colOff>317500</xdr:colOff>
      <xdr:row>31</xdr:row>
      <xdr:rowOff>25400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5736C0F-5AA9-CC55-21E2-23227E7CB9E0}"/>
            </a:ext>
          </a:extLst>
        </xdr:cNvPr>
        <xdr:cNvSpPr txBox="1"/>
      </xdr:nvSpPr>
      <xdr:spPr>
        <a:xfrm>
          <a:off x="342900" y="190500"/>
          <a:ext cx="8229600" cy="6134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Aufbau des excelbasierten Berechnungstools</a:t>
          </a:r>
          <a:endParaRPr lang="en-US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e-CH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Nachfolgend wird der Aufbau des excelbasierten Berechnungstool kurz erläutert.</a:t>
          </a:r>
        </a:p>
        <a:p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e-CH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Eingabe</a:t>
          </a:r>
          <a:endParaRPr lang="en-US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e-CH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diesem Tabellenblatt finden sich die Eingabefelder für die in Schritt 1 und 2 erhobenen Daten. Diese werden vom Excel automatisch verwendet, um in den anderen Tabellenblättern die Berechnungen durchzuführen. Um die Auswirkungen veränderter Werte auf die Berechnung der Batteriekapazität (Umgebungs- Belastungs- bzw. auch Informationen zu Ladestrategie) direkt zu sehen, empfiehlt es sich, verschiedene Eingabewerte zu testen in Bezug auf Zwischenladungen. Die Daten können aus einer technischen Routenanalyse, aus Gesprächen mit Busfahrer:innen oder aus weiteren Quellen wie etwa dem offiziellen Fahrplan stammen.</a:t>
          </a:r>
        </a:p>
        <a:p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e-CH" sz="14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Verbrauch pro km </a:t>
          </a:r>
          <a:endParaRPr lang="en-US" sz="14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e-CH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diesem Tabellenblatt wird berechnet, wie sich bestimmte Streckenmerkmale auf den Basisverbrauch eines E-Busses auswirken. Das Tabellenblatt gibt es zwei Mal: Einmal für das MaxBel-Szenario</a:t>
          </a:r>
          <a:r>
            <a:rPr lang="de-CH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und einmal für das Sommer-Szenario. </a:t>
          </a:r>
          <a:endParaRPr lang="de-CH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e-CH" sz="14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Eruierung Batterie </a:t>
          </a:r>
          <a:endParaRPr lang="en-US" sz="14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diesem Tabellenblatt wird der Tagesenergiebedarf und darauf basierend die erforderliche Batteriegrösse berechnet um die täglichen Ansprüche der jeweiligen Strecken im MaxBel-Szenario zu meistern. Mögliche Optionen bezüglich Ladestrategie werden in Betracht gezogen, um die Auslegung der Batterie möglichst klein halten zu können. Das Tabellenblatt gibt es zwei Mal: Einmal für das MaxBel-Szenario</a:t>
          </a:r>
          <a:r>
            <a:rPr lang="de-CH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und einmal für das Sommer-Szenario. </a:t>
          </a:r>
          <a:endParaRPr lang="de-CH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de-CH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e-CH" sz="14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Anforderungsliste</a:t>
          </a:r>
          <a:endParaRPr lang="en-US" sz="14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e-CH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diesem Tabellenblatt werden die berechneten Werte wiedergegeben, die in die Anforderungsliste übernommen werden müssen.</a:t>
          </a:r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109728</xdr:colOff>
      <xdr:row>22</xdr:row>
      <xdr:rowOff>103632</xdr:rowOff>
    </xdr:from>
    <xdr:to>
      <xdr:col>5</xdr:col>
      <xdr:colOff>3818128</xdr:colOff>
      <xdr:row>25</xdr:row>
      <xdr:rowOff>91440</xdr:rowOff>
    </xdr:to>
    <xdr:pic>
      <xdr:nvPicPr>
        <xdr:cNvPr id="3" name="Grafik 3">
          <a:extLst>
            <a:ext uri="{FF2B5EF4-FFF2-40B4-BE49-F238E27FC236}">
              <a16:creationId xmlns:a16="http://schemas.microsoft.com/office/drawing/2014/main" id="{33C7F6F3-C832-0E4C-B9E0-200AA7324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32928" y="4574032"/>
          <a:ext cx="3708400" cy="5974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50800</xdr:colOff>
      <xdr:row>16</xdr:row>
      <xdr:rowOff>50800</xdr:rowOff>
    </xdr:from>
    <xdr:to>
      <xdr:col>5</xdr:col>
      <xdr:colOff>3759200</xdr:colOff>
      <xdr:row>19</xdr:row>
      <xdr:rowOff>0</xdr:rowOff>
    </xdr:to>
    <xdr:pic>
      <xdr:nvPicPr>
        <xdr:cNvPr id="2" name="Grafik 3">
          <a:extLst>
            <a:ext uri="{FF2B5EF4-FFF2-40B4-BE49-F238E27FC236}">
              <a16:creationId xmlns:a16="http://schemas.microsoft.com/office/drawing/2014/main" id="{22E78CFC-7E68-FF47-8A0C-33CB0A763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1280" y="4531360"/>
          <a:ext cx="3708400" cy="558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883E2-5055-054C-944C-5823FE45DFDA}">
  <dimension ref="A1"/>
  <sheetViews>
    <sheetView workbookViewId="0">
      <selection activeCell="L9" sqref="L9"/>
    </sheetView>
  </sheetViews>
  <sheetFormatPr baseColWidth="10" defaultRowHeight="15.7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0"/>
  <sheetViews>
    <sheetView zoomScale="156" workbookViewId="0">
      <selection activeCell="E31" sqref="E31"/>
    </sheetView>
  </sheetViews>
  <sheetFormatPr baseColWidth="10" defaultRowHeight="15.75" x14ac:dyDescent="0.25"/>
  <cols>
    <col min="1" max="1" width="39.5" customWidth="1"/>
    <col min="2" max="3" width="13.875" customWidth="1"/>
    <col min="4" max="4" width="14.625" customWidth="1"/>
  </cols>
  <sheetData>
    <row r="1" spans="1:5" x14ac:dyDescent="0.25">
      <c r="A1" s="1" t="s">
        <v>86</v>
      </c>
    </row>
    <row r="3" spans="1:5" x14ac:dyDescent="0.25">
      <c r="A3" s="1" t="s">
        <v>81</v>
      </c>
      <c r="B3" s="1" t="s">
        <v>99</v>
      </c>
      <c r="C3" s="1" t="s">
        <v>100</v>
      </c>
      <c r="D3" s="1" t="s">
        <v>12</v>
      </c>
      <c r="E3" s="1" t="s">
        <v>85</v>
      </c>
    </row>
    <row r="4" spans="1:5" x14ac:dyDescent="0.25">
      <c r="A4" t="s">
        <v>56</v>
      </c>
      <c r="B4" s="12">
        <v>21.6</v>
      </c>
      <c r="C4" s="12">
        <f>B4</f>
        <v>21.6</v>
      </c>
      <c r="D4" t="s">
        <v>15</v>
      </c>
    </row>
    <row r="5" spans="1:5" x14ac:dyDescent="0.25">
      <c r="A5" t="s">
        <v>1</v>
      </c>
      <c r="B5" s="12">
        <v>8</v>
      </c>
      <c r="C5" s="12">
        <f t="shared" ref="C5:C6" si="0">B5</f>
        <v>8</v>
      </c>
      <c r="D5" t="s">
        <v>39</v>
      </c>
    </row>
    <row r="6" spans="1:5" x14ac:dyDescent="0.25">
      <c r="A6" t="s">
        <v>18</v>
      </c>
      <c r="B6" s="12">
        <v>35</v>
      </c>
      <c r="C6" s="12">
        <f t="shared" si="0"/>
        <v>35</v>
      </c>
      <c r="D6" t="s">
        <v>45</v>
      </c>
    </row>
    <row r="8" spans="1:5" x14ac:dyDescent="0.25">
      <c r="A8" s="1" t="s">
        <v>82</v>
      </c>
    </row>
    <row r="9" spans="1:5" x14ac:dyDescent="0.25">
      <c r="A9" t="s">
        <v>20</v>
      </c>
      <c r="B9" s="12">
        <v>1</v>
      </c>
      <c r="C9" s="12">
        <f>B9</f>
        <v>1</v>
      </c>
      <c r="D9" t="s">
        <v>46</v>
      </c>
    </row>
    <row r="10" spans="1:5" x14ac:dyDescent="0.25">
      <c r="A10" t="s">
        <v>8</v>
      </c>
      <c r="B10" s="12">
        <v>8</v>
      </c>
      <c r="C10" s="12">
        <f>B10</f>
        <v>8</v>
      </c>
      <c r="D10" t="s">
        <v>55</v>
      </c>
    </row>
    <row r="12" spans="1:5" x14ac:dyDescent="0.25">
      <c r="A12" s="1" t="s">
        <v>93</v>
      </c>
    </row>
    <row r="13" spans="1:5" x14ac:dyDescent="0.25">
      <c r="A13" t="s">
        <v>0</v>
      </c>
      <c r="B13" s="12">
        <v>8</v>
      </c>
      <c r="C13" s="12">
        <f>B13</f>
        <v>8</v>
      </c>
      <c r="D13" t="s">
        <v>41</v>
      </c>
    </row>
    <row r="14" spans="1:5" x14ac:dyDescent="0.25">
      <c r="A14" t="s">
        <v>35</v>
      </c>
      <c r="B14" s="12">
        <v>5.5</v>
      </c>
      <c r="C14" s="12">
        <f t="shared" ref="C14:C15" si="1">B14</f>
        <v>5.5</v>
      </c>
      <c r="D14" t="s">
        <v>42</v>
      </c>
    </row>
    <row r="15" spans="1:5" x14ac:dyDescent="0.25">
      <c r="A15" t="s">
        <v>102</v>
      </c>
      <c r="B15" s="14">
        <v>22</v>
      </c>
      <c r="C15" s="12">
        <f t="shared" si="1"/>
        <v>22</v>
      </c>
      <c r="D15" t="s">
        <v>101</v>
      </c>
    </row>
    <row r="16" spans="1:5" x14ac:dyDescent="0.25">
      <c r="A16" t="s">
        <v>103</v>
      </c>
      <c r="B16" s="2">
        <f>B14+0.075+0.085*B15</f>
        <v>7.4450000000000003</v>
      </c>
      <c r="C16" s="2">
        <f>C14+0.075+0.085*C15</f>
        <v>7.4450000000000003</v>
      </c>
      <c r="D16" t="s">
        <v>42</v>
      </c>
      <c r="E16" t="s">
        <v>104</v>
      </c>
    </row>
    <row r="18" spans="1:5" x14ac:dyDescent="0.25">
      <c r="A18" s="1" t="s">
        <v>74</v>
      </c>
    </row>
    <row r="19" spans="1:5" ht="21" x14ac:dyDescent="0.35">
      <c r="A19" t="s">
        <v>89</v>
      </c>
      <c r="B19" s="12">
        <v>1</v>
      </c>
      <c r="C19" s="12">
        <f>B19</f>
        <v>1</v>
      </c>
      <c r="D19" t="s">
        <v>90</v>
      </c>
    </row>
    <row r="20" spans="1:5" x14ac:dyDescent="0.25">
      <c r="A20" t="s">
        <v>48</v>
      </c>
      <c r="B20" s="12">
        <v>12</v>
      </c>
      <c r="C20" s="12">
        <f t="shared" ref="C20:C22" si="2">B20</f>
        <v>12</v>
      </c>
      <c r="D20" t="s">
        <v>15</v>
      </c>
    </row>
    <row r="21" spans="1:5" x14ac:dyDescent="0.25">
      <c r="A21" t="s">
        <v>119</v>
      </c>
      <c r="B21" s="21">
        <v>18</v>
      </c>
      <c r="C21" s="12">
        <f t="shared" si="2"/>
        <v>18</v>
      </c>
      <c r="D21" t="s">
        <v>39</v>
      </c>
    </row>
    <row r="22" spans="1:5" x14ac:dyDescent="0.25">
      <c r="A22" t="s">
        <v>120</v>
      </c>
      <c r="B22" s="21">
        <v>25</v>
      </c>
      <c r="C22" s="12">
        <f t="shared" si="2"/>
        <v>25</v>
      </c>
      <c r="D22" t="s">
        <v>45</v>
      </c>
    </row>
    <row r="23" spans="1:5" x14ac:dyDescent="0.25">
      <c r="B23" s="17"/>
    </row>
    <row r="24" spans="1:5" x14ac:dyDescent="0.25">
      <c r="A24" s="1" t="s">
        <v>83</v>
      </c>
    </row>
    <row r="25" spans="1:5" x14ac:dyDescent="0.25">
      <c r="A25" t="s">
        <v>71</v>
      </c>
      <c r="B25" s="12">
        <v>-15</v>
      </c>
      <c r="C25" s="12">
        <v>20</v>
      </c>
      <c r="D25" t="s">
        <v>10</v>
      </c>
    </row>
    <row r="26" spans="1:5" x14ac:dyDescent="0.25">
      <c r="A26" t="s">
        <v>88</v>
      </c>
      <c r="B26" s="12">
        <v>15</v>
      </c>
      <c r="C26" s="12">
        <v>0</v>
      </c>
      <c r="D26" t="s">
        <v>9</v>
      </c>
    </row>
    <row r="27" spans="1:5" x14ac:dyDescent="0.25">
      <c r="A27" t="s">
        <v>87</v>
      </c>
      <c r="B27" s="12">
        <v>0</v>
      </c>
      <c r="C27" s="12">
        <v>1</v>
      </c>
      <c r="D27" t="s">
        <v>92</v>
      </c>
      <c r="E27" t="s">
        <v>139</v>
      </c>
    </row>
    <row r="29" spans="1:5" x14ac:dyDescent="0.25">
      <c r="A29" s="1" t="s">
        <v>84</v>
      </c>
    </row>
    <row r="30" spans="1:5" x14ac:dyDescent="0.25">
      <c r="A30" t="s">
        <v>91</v>
      </c>
      <c r="B30" s="12">
        <v>3</v>
      </c>
      <c r="D30" t="s">
        <v>55</v>
      </c>
      <c r="E30" t="s">
        <v>148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1"/>
  <sheetViews>
    <sheetView zoomScale="125" zoomScaleNormal="105" workbookViewId="0">
      <selection activeCell="B23" sqref="B23"/>
    </sheetView>
  </sheetViews>
  <sheetFormatPr baseColWidth="10" defaultRowHeight="15.75" x14ac:dyDescent="0.25"/>
  <cols>
    <col min="1" max="1" width="48.875" customWidth="1"/>
    <col min="3" max="3" width="14.125" customWidth="1"/>
    <col min="4" max="4" width="24.875" customWidth="1"/>
    <col min="5" max="5" width="10.875" customWidth="1"/>
    <col min="6" max="6" width="42" customWidth="1"/>
  </cols>
  <sheetData>
    <row r="1" spans="1:6" s="1" customFormat="1" x14ac:dyDescent="0.25">
      <c r="A1" s="1" t="s">
        <v>131</v>
      </c>
    </row>
    <row r="2" spans="1:6" s="1" customFormat="1" x14ac:dyDescent="0.25"/>
    <row r="3" spans="1:6" x14ac:dyDescent="0.25">
      <c r="B3" s="1" t="s">
        <v>11</v>
      </c>
      <c r="C3" s="1" t="s">
        <v>12</v>
      </c>
      <c r="D3" s="28" t="s">
        <v>13</v>
      </c>
      <c r="E3" s="28" t="s">
        <v>21</v>
      </c>
    </row>
    <row r="4" spans="1:6" x14ac:dyDescent="0.25">
      <c r="A4" s="1" t="s">
        <v>6</v>
      </c>
      <c r="D4" s="31"/>
      <c r="E4" s="12"/>
    </row>
    <row r="5" spans="1:6" x14ac:dyDescent="0.25">
      <c r="A5" t="s">
        <v>56</v>
      </c>
      <c r="B5" s="30">
        <f>Eingabe!B4</f>
        <v>21.6</v>
      </c>
      <c r="C5" t="s">
        <v>15</v>
      </c>
      <c r="D5" s="31"/>
      <c r="E5" s="12"/>
    </row>
    <row r="6" spans="1:6" x14ac:dyDescent="0.25">
      <c r="A6" t="s">
        <v>20</v>
      </c>
      <c r="B6">
        <v>1</v>
      </c>
      <c r="C6" t="s">
        <v>46</v>
      </c>
      <c r="D6" s="31"/>
      <c r="E6" s="35">
        <f>(((3*B5)-B6)*-0.075)/B5</f>
        <v>-0.22152777777777782</v>
      </c>
      <c r="F6" t="s">
        <v>107</v>
      </c>
    </row>
    <row r="7" spans="1:6" x14ac:dyDescent="0.25">
      <c r="A7" t="s">
        <v>1</v>
      </c>
      <c r="B7">
        <v>8</v>
      </c>
      <c r="C7" t="s">
        <v>39</v>
      </c>
      <c r="D7" s="31">
        <f>IF(B7&lt;=0,0,IF(B7&lt;=5,5+(B7/5)*5,IF(B7&lt;=10,10+((B7-5)/5)*10,IF(B7&lt;=15,20+((B7-10)/5)*15,IF(B7&lt;=20,35+((B7-15)/5)*20,IF(B7&lt;=25,55+((B7-20)/5)*25,IF(B7&lt;=30,80+((B7-25)/5)*30,IF(B7&lt;=35,110+((B7-30)/5)*40,IF(B7&lt;=40,150+((B7-35)/5)*50,IF(B7&lt;=45,200+((B7-40)/5)*60,IF(B7&lt;=50,260+((B7-45)/5)*70,330+((B7-50)/5)*80)))))))))))/100</f>
        <v>0.16</v>
      </c>
      <c r="E7" s="12"/>
      <c r="F7" t="s">
        <v>54</v>
      </c>
    </row>
    <row r="8" spans="1:6" x14ac:dyDescent="0.25">
      <c r="A8" t="s">
        <v>18</v>
      </c>
      <c r="B8">
        <f>Eingabe!B6</f>
        <v>35</v>
      </c>
      <c r="C8" t="s">
        <v>45</v>
      </c>
      <c r="D8" s="31">
        <f>IF(B8=35, -22.22, IF(B8=45, 0, IF(B8&lt;45, 100 * ((B8 / 35) - 1), 100 * ((B8 / 45)^1.1 - 1))))/100</f>
        <v>-0.22219999999999998</v>
      </c>
      <c r="E8" s="12"/>
      <c r="F8" t="s">
        <v>75</v>
      </c>
    </row>
    <row r="9" spans="1:6" x14ac:dyDescent="0.25">
      <c r="D9" s="31"/>
      <c r="E9" s="12"/>
    </row>
    <row r="10" spans="1:6" x14ac:dyDescent="0.25">
      <c r="A10" s="1" t="s">
        <v>7</v>
      </c>
      <c r="D10" s="31"/>
      <c r="E10" s="12"/>
    </row>
    <row r="11" spans="1:6" x14ac:dyDescent="0.25">
      <c r="A11" t="s">
        <v>8</v>
      </c>
      <c r="B11">
        <f>Eingabe!B10</f>
        <v>8</v>
      </c>
      <c r="C11" t="s">
        <v>55</v>
      </c>
      <c r="D11" s="31"/>
      <c r="E11" s="12"/>
      <c r="F11" t="s">
        <v>96</v>
      </c>
    </row>
    <row r="12" spans="1:6" x14ac:dyDescent="0.25">
      <c r="A12" t="s">
        <v>2</v>
      </c>
      <c r="B12">
        <f>B11*B5</f>
        <v>172.8</v>
      </c>
      <c r="C12" t="s">
        <v>15</v>
      </c>
      <c r="D12" s="31"/>
      <c r="E12" s="12"/>
      <c r="F12" s="4" t="s">
        <v>58</v>
      </c>
    </row>
    <row r="13" spans="1:6" x14ac:dyDescent="0.25">
      <c r="A13" t="s">
        <v>20</v>
      </c>
      <c r="B13">
        <f>B6*B11</f>
        <v>8</v>
      </c>
      <c r="C13" t="s">
        <v>44</v>
      </c>
      <c r="D13" s="31"/>
      <c r="E13" s="12"/>
      <c r="F13" t="s">
        <v>97</v>
      </c>
    </row>
    <row r="14" spans="1:6" x14ac:dyDescent="0.25">
      <c r="A14" t="s">
        <v>106</v>
      </c>
      <c r="B14">
        <f>Eingabe!B30</f>
        <v>3</v>
      </c>
      <c r="D14" s="13">
        <f>0.6/(B11/'Verbrauch pro km MaxBel'!B14)</f>
        <v>0.22500000000000001</v>
      </c>
      <c r="E14" s="12"/>
      <c r="F14" t="s">
        <v>105</v>
      </c>
    </row>
    <row r="15" spans="1:6" x14ac:dyDescent="0.25">
      <c r="D15" s="31"/>
      <c r="E15" s="12"/>
    </row>
    <row r="16" spans="1:6" x14ac:dyDescent="0.25">
      <c r="A16" s="1" t="s">
        <v>74</v>
      </c>
      <c r="D16" s="31"/>
      <c r="E16" s="12"/>
    </row>
    <row r="17" spans="1:6" x14ac:dyDescent="0.25">
      <c r="A17" t="s">
        <v>94</v>
      </c>
      <c r="B17">
        <f>Eingabe!B19</f>
        <v>1</v>
      </c>
      <c r="C17" t="s">
        <v>90</v>
      </c>
      <c r="D17" s="31"/>
      <c r="E17" s="12"/>
    </row>
    <row r="18" spans="1:6" x14ac:dyDescent="0.25">
      <c r="A18" t="s">
        <v>48</v>
      </c>
      <c r="B18">
        <f>Eingabe!B20</f>
        <v>12</v>
      </c>
      <c r="C18" t="s">
        <v>15</v>
      </c>
      <c r="D18" s="31">
        <f>IF(B18&lt;=3,(0),B18/100)*B17</f>
        <v>0.12</v>
      </c>
      <c r="E18" s="12"/>
    </row>
    <row r="19" spans="1:6" x14ac:dyDescent="0.25">
      <c r="D19" s="31"/>
      <c r="E19" s="12"/>
    </row>
    <row r="20" spans="1:6" x14ac:dyDescent="0.25">
      <c r="A20" s="1" t="s">
        <v>140</v>
      </c>
      <c r="D20" s="31"/>
      <c r="E20" s="12"/>
    </row>
    <row r="21" spans="1:6" x14ac:dyDescent="0.25">
      <c r="A21" t="s">
        <v>71</v>
      </c>
      <c r="B21">
        <f>Eingabe!B25</f>
        <v>-15</v>
      </c>
      <c r="C21" t="s">
        <v>10</v>
      </c>
      <c r="D21" s="31">
        <f>IF(B21&lt;=-20,0.8,IF(AND(B21&gt;-20,B21&lt;=-18),0.7,IF(AND(B21&gt;-18,B21&lt;=-16),0.6,IF(AND(B21&gt;-16,B21&lt;=-14),0.5,IF(AND(B21&gt;-14,B21&lt;=-12),0.4,IF(AND(B21&gt;-12,B21&lt;=-10),0.35,IF(AND(B21&gt;-10,B21&lt;=-8),0.3,IF(AND(B21&gt;-8,B21&lt;=-6),0.25,IF(AND(B21&gt;-6,B21&lt;=-4),0.2,IF(AND(B21&gt;-4,B21&lt;=-2),0.15,IF(AND(B21&gt;-2,B21&lt;=0),0.1,IF(AND(B21&gt;=0,B21&lt;=2),0.08,IF(AND(B21&gt;2,B21&lt;=4),0.06,IF(AND(B21&gt;4,B21&lt;=6),0.04,IF(AND(B21&gt;6,B21&lt;=8),0.03,IF(AND(B21&gt;8,B21&lt;=10),0.02,IF(B21&gt;10,0,"")))))))))))))))))</f>
        <v>0.5</v>
      </c>
      <c r="E21" s="12"/>
      <c r="F21" t="s">
        <v>53</v>
      </c>
    </row>
    <row r="22" spans="1:6" x14ac:dyDescent="0.25">
      <c r="A22" t="s">
        <v>60</v>
      </c>
      <c r="B22">
        <f>Eingabe!B26</f>
        <v>15</v>
      </c>
      <c r="C22" t="s">
        <v>9</v>
      </c>
      <c r="D22" s="31">
        <f>IF(B22 = 0, 0, IF(AND(B22 &gt; 0, B22 &lt;= 5), 0.1, IF(AND(B22 &gt; 5, B22 &lt;= 10), 0.2, IF(B22 &gt; 10, 0.3, ""))))*0.7</f>
        <v>0.21</v>
      </c>
      <c r="E22" s="12"/>
      <c r="F22" t="s">
        <v>52</v>
      </c>
    </row>
    <row r="23" spans="1:6" x14ac:dyDescent="0.25">
      <c r="A23" t="s">
        <v>61</v>
      </c>
      <c r="B23">
        <f>Eingabe!B27</f>
        <v>0</v>
      </c>
      <c r="C23" t="s">
        <v>62</v>
      </c>
      <c r="D23" s="31">
        <f>IF(B23 = 1,0.05,0)</f>
        <v>0</v>
      </c>
      <c r="E23" s="12"/>
      <c r="F23" t="s">
        <v>63</v>
      </c>
    </row>
    <row r="24" spans="1:6" x14ac:dyDescent="0.25">
      <c r="A24" s="1" t="s">
        <v>141</v>
      </c>
      <c r="B24" s="1"/>
      <c r="C24" s="1"/>
      <c r="D24" s="33">
        <f>SUM(D1:D23)</f>
        <v>0.99280000000000002</v>
      </c>
      <c r="E24" s="34">
        <f>SUM(E1:E23)</f>
        <v>-0.22152777777777782</v>
      </c>
    </row>
    <row r="26" spans="1:6" x14ac:dyDescent="0.25">
      <c r="A26" s="1" t="s">
        <v>138</v>
      </c>
    </row>
    <row r="27" spans="1:6" ht="15.95" customHeight="1" x14ac:dyDescent="0.25">
      <c r="A27" s="4" t="s">
        <v>23</v>
      </c>
      <c r="B27">
        <f>IF(Eingabe!B34&lt;10, 0.8, IF(AND(Eingabe!B34&gt;=10,Eingabe!B34&lt; 12.99), 1, IF(AND(Eingabe!B34&gt;=13,Eingabe!B34&lt; 17.99), 1.3, IF(AND(Eingabe!B34&gt;=18,Eingabe!B34&lt;= 24), 1.6, ""))))</f>
        <v>0.8</v>
      </c>
      <c r="C27" t="s">
        <v>14</v>
      </c>
      <c r="F27" t="s">
        <v>40</v>
      </c>
    </row>
    <row r="28" spans="1:6" x14ac:dyDescent="0.25">
      <c r="A28" t="s">
        <v>112</v>
      </c>
      <c r="B28" s="26">
        <f>B27*(1+D24)</f>
        <v>1.5942400000000001</v>
      </c>
      <c r="C28" t="s">
        <v>14</v>
      </c>
      <c r="F28" t="s">
        <v>38</v>
      </c>
    </row>
    <row r="29" spans="1:6" x14ac:dyDescent="0.25">
      <c r="A29" s="12" t="s">
        <v>114</v>
      </c>
      <c r="B29" s="37">
        <f>B28+E24</f>
        <v>1.3727122222222223</v>
      </c>
      <c r="C29" s="12" t="s">
        <v>14</v>
      </c>
    </row>
    <row r="30" spans="1:6" x14ac:dyDescent="0.25">
      <c r="A30" t="s">
        <v>113</v>
      </c>
      <c r="B30" s="26">
        <v>5.09</v>
      </c>
      <c r="C30" t="s">
        <v>14</v>
      </c>
      <c r="F30" t="s">
        <v>78</v>
      </c>
    </row>
    <row r="31" spans="1:6" x14ac:dyDescent="0.25">
      <c r="F31" t="s">
        <v>79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5"/>
  <sheetViews>
    <sheetView zoomScale="125" zoomScaleNormal="140" workbookViewId="0">
      <selection activeCell="A10" sqref="A10"/>
    </sheetView>
  </sheetViews>
  <sheetFormatPr baseColWidth="10" defaultRowHeight="15.75" x14ac:dyDescent="0.25"/>
  <cols>
    <col min="1" max="1" width="62.125" customWidth="1"/>
    <col min="2" max="2" width="16.5" customWidth="1"/>
    <col min="4" max="4" width="2" customWidth="1"/>
    <col min="5" max="5" width="11.125" customWidth="1"/>
    <col min="6" max="6" width="51" customWidth="1"/>
  </cols>
  <sheetData>
    <row r="1" spans="1:6" x14ac:dyDescent="0.25">
      <c r="A1" s="1" t="s">
        <v>142</v>
      </c>
    </row>
    <row r="2" spans="1:6" x14ac:dyDescent="0.25">
      <c r="B2" s="26"/>
    </row>
    <row r="3" spans="1:6" x14ac:dyDescent="0.25">
      <c r="A3" s="1" t="s">
        <v>138</v>
      </c>
    </row>
    <row r="4" spans="1:6" x14ac:dyDescent="0.25">
      <c r="A4" t="s">
        <v>4</v>
      </c>
      <c r="B4" s="30">
        <f>'Verbrauch pro km MaxBel'!B5*'Verbrauch pro km MaxBel'!B11</f>
        <v>172.8</v>
      </c>
      <c r="C4" t="s">
        <v>15</v>
      </c>
    </row>
    <row r="5" spans="1:6" x14ac:dyDescent="0.25">
      <c r="A5" t="s">
        <v>114</v>
      </c>
      <c r="B5" s="26">
        <f>'Verbrauch pro km MaxBel'!B29</f>
        <v>1.3727122222222223</v>
      </c>
      <c r="C5" t="s">
        <v>14</v>
      </c>
    </row>
    <row r="6" spans="1:6" x14ac:dyDescent="0.25">
      <c r="A6" s="12" t="s">
        <v>130</v>
      </c>
      <c r="B6" s="24">
        <f>B4*B5</f>
        <v>237.20467200000004</v>
      </c>
      <c r="C6" s="12" t="s">
        <v>5</v>
      </c>
      <c r="F6" t="s">
        <v>80</v>
      </c>
    </row>
    <row r="8" spans="1:6" x14ac:dyDescent="0.25">
      <c r="A8" s="1" t="s">
        <v>137</v>
      </c>
    </row>
    <row r="9" spans="1:6" x14ac:dyDescent="0.25">
      <c r="A9" s="1"/>
    </row>
    <row r="10" spans="1:6" x14ac:dyDescent="0.25">
      <c r="A10" s="1" t="s">
        <v>146</v>
      </c>
    </row>
    <row r="11" spans="1:6" x14ac:dyDescent="0.25">
      <c r="A11" t="s">
        <v>76</v>
      </c>
      <c r="B11">
        <v>1</v>
      </c>
      <c r="C11" t="s">
        <v>43</v>
      </c>
      <c r="F11" t="s">
        <v>116</v>
      </c>
    </row>
    <row r="12" spans="1:6" x14ac:dyDescent="0.25">
      <c r="A12" t="s">
        <v>17</v>
      </c>
      <c r="B12" s="32">
        <v>0.8</v>
      </c>
      <c r="C12" t="s">
        <v>57</v>
      </c>
    </row>
    <row r="13" spans="1:6" x14ac:dyDescent="0.25">
      <c r="A13" t="s">
        <v>65</v>
      </c>
      <c r="B13" s="3">
        <f>B6/(1+B12)</f>
        <v>131.78037333333336</v>
      </c>
      <c r="C13" t="s">
        <v>5</v>
      </c>
    </row>
    <row r="14" spans="1:6" x14ac:dyDescent="0.25">
      <c r="A14" s="12" t="s">
        <v>110</v>
      </c>
      <c r="B14" s="24">
        <f>B13/0.8</f>
        <v>164.72546666666668</v>
      </c>
      <c r="C14" s="12" t="s">
        <v>5</v>
      </c>
    </row>
    <row r="16" spans="1:6" x14ac:dyDescent="0.25">
      <c r="A16" s="1" t="s">
        <v>147</v>
      </c>
    </row>
    <row r="17" spans="1:6" x14ac:dyDescent="0.25">
      <c r="A17" t="s">
        <v>76</v>
      </c>
      <c r="B17">
        <v>1</v>
      </c>
      <c r="C17" t="s">
        <v>43</v>
      </c>
      <c r="F17" t="s">
        <v>116</v>
      </c>
    </row>
    <row r="18" spans="1:6" x14ac:dyDescent="0.25">
      <c r="A18" t="s">
        <v>111</v>
      </c>
      <c r="B18" s="23">
        <v>0.8</v>
      </c>
      <c r="C18" t="s">
        <v>57</v>
      </c>
    </row>
    <row r="19" spans="1:6" x14ac:dyDescent="0.25">
      <c r="A19" t="s">
        <v>65</v>
      </c>
      <c r="B19" s="3">
        <f>B6/(1+B18)</f>
        <v>131.78037333333336</v>
      </c>
      <c r="C19" t="s">
        <v>5</v>
      </c>
    </row>
    <row r="20" spans="1:6" x14ac:dyDescent="0.25">
      <c r="A20" t="s">
        <v>135</v>
      </c>
      <c r="B20" s="3">
        <v>25</v>
      </c>
      <c r="C20" t="s">
        <v>5</v>
      </c>
      <c r="F20" t="s">
        <v>143</v>
      </c>
    </row>
    <row r="21" spans="1:6" x14ac:dyDescent="0.25">
      <c r="A21" t="s">
        <v>136</v>
      </c>
      <c r="B21" s="3">
        <f>B19-B20</f>
        <v>106.78037333333336</v>
      </c>
      <c r="C21" t="s">
        <v>5</v>
      </c>
    </row>
    <row r="22" spans="1:6" x14ac:dyDescent="0.25">
      <c r="A22" s="12" t="s">
        <v>110</v>
      </c>
      <c r="B22" s="24">
        <f>B21/0.8</f>
        <v>133.47546666666668</v>
      </c>
      <c r="C22" s="12" t="s">
        <v>5</v>
      </c>
      <c r="F22" s="15"/>
    </row>
    <row r="23" spans="1:6" x14ac:dyDescent="0.25">
      <c r="F23" s="15"/>
    </row>
    <row r="24" spans="1:6" x14ac:dyDescent="0.25">
      <c r="A24" s="1" t="s">
        <v>117</v>
      </c>
      <c r="F24" s="15"/>
    </row>
    <row r="25" spans="1:6" x14ac:dyDescent="0.25">
      <c r="A25" t="s">
        <v>118</v>
      </c>
      <c r="B25" s="3">
        <f>(Eingabe!B16*1000)*9.81*(SIN(ATAN(Eingabe!B21/100))+0.006*COS(ATAN(Eingabe!B21/100)))*(25/3.6)/1000</f>
        <v>92.845351267348065</v>
      </c>
      <c r="C25" t="s">
        <v>19</v>
      </c>
      <c r="F25" s="15"/>
    </row>
    <row r="26" spans="1:6" x14ac:dyDescent="0.25">
      <c r="A26" t="s">
        <v>108</v>
      </c>
      <c r="B26">
        <v>80</v>
      </c>
      <c r="C26" t="s">
        <v>39</v>
      </c>
    </row>
    <row r="27" spans="1:6" x14ac:dyDescent="0.25">
      <c r="A27" s="12" t="s">
        <v>109</v>
      </c>
      <c r="B27" s="25">
        <f>B25/B26*100</f>
        <v>116.05668908418507</v>
      </c>
      <c r="C27" s="12" t="s">
        <v>19</v>
      </c>
      <c r="F27" t="s">
        <v>37</v>
      </c>
    </row>
    <row r="28" spans="1:6" ht="18.75" x14ac:dyDescent="0.3">
      <c r="A28" s="9"/>
      <c r="B28" s="10"/>
      <c r="C28" s="11"/>
      <c r="F28" s="15"/>
    </row>
    <row r="29" spans="1:6" ht="18.75" x14ac:dyDescent="0.3">
      <c r="A29" s="9"/>
      <c r="B29" s="10"/>
      <c r="C29" s="11"/>
      <c r="F29" s="15"/>
    </row>
    <row r="30" spans="1:6" ht="18.75" x14ac:dyDescent="0.3">
      <c r="A30" s="9"/>
      <c r="B30" s="10"/>
      <c r="C30" s="11"/>
      <c r="F30" s="15"/>
    </row>
    <row r="31" spans="1:6" ht="18.75" x14ac:dyDescent="0.3">
      <c r="A31" s="9"/>
      <c r="B31" s="10"/>
      <c r="C31" s="11"/>
      <c r="F31" s="15"/>
    </row>
    <row r="32" spans="1:6" ht="18.75" x14ac:dyDescent="0.3">
      <c r="A32" s="9"/>
      <c r="B32" s="16"/>
      <c r="C32" s="11"/>
      <c r="F32" s="15"/>
    </row>
    <row r="33" spans="1:6" ht="18.75" x14ac:dyDescent="0.3">
      <c r="A33" s="9"/>
      <c r="B33" s="10"/>
      <c r="C33" s="11"/>
      <c r="F33" s="15"/>
    </row>
    <row r="34" spans="1:6" ht="18.75" x14ac:dyDescent="0.3">
      <c r="A34" s="9"/>
      <c r="B34" s="16"/>
      <c r="C34" s="11"/>
      <c r="F34" s="15"/>
    </row>
    <row r="35" spans="1:6" ht="18.75" x14ac:dyDescent="0.3">
      <c r="A35" s="9"/>
      <c r="B35" s="10"/>
    </row>
    <row r="36" spans="1:6" ht="18.75" x14ac:dyDescent="0.3">
      <c r="A36" s="9"/>
      <c r="B36" s="10"/>
    </row>
    <row r="37" spans="1:6" x14ac:dyDescent="0.25">
      <c r="B37" s="3"/>
    </row>
    <row r="41" spans="1:6" x14ac:dyDescent="0.25">
      <c r="B41" s="18"/>
    </row>
    <row r="42" spans="1:6" x14ac:dyDescent="0.25">
      <c r="A42" s="19"/>
      <c r="B42" s="20"/>
      <c r="C42" s="19"/>
    </row>
    <row r="43" spans="1:6" x14ac:dyDescent="0.25">
      <c r="A43" s="19"/>
      <c r="B43" s="20"/>
      <c r="C43" s="19"/>
    </row>
    <row r="44" spans="1:6" x14ac:dyDescent="0.25">
      <c r="A44" s="1"/>
      <c r="B44" s="18"/>
    </row>
    <row r="45" spans="1:6" x14ac:dyDescent="0.25">
      <c r="B45" s="18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9"/>
  <sheetViews>
    <sheetView zoomScale="133" zoomScaleNormal="100" workbookViewId="0">
      <selection activeCell="F9" sqref="F9"/>
    </sheetView>
  </sheetViews>
  <sheetFormatPr baseColWidth="10" defaultRowHeight="15.75" x14ac:dyDescent="0.25"/>
  <cols>
    <col min="1" max="1" width="49.625" customWidth="1"/>
    <col min="3" max="3" width="15.125" customWidth="1"/>
    <col min="4" max="4" width="24.875" customWidth="1"/>
    <col min="5" max="5" width="10.875" customWidth="1"/>
    <col min="6" max="6" width="42" customWidth="1"/>
  </cols>
  <sheetData>
    <row r="1" spans="1:6" s="1" customFormat="1" x14ac:dyDescent="0.25">
      <c r="A1" s="1" t="s">
        <v>132</v>
      </c>
    </row>
    <row r="2" spans="1:6" s="1" customFormat="1" x14ac:dyDescent="0.25"/>
    <row r="3" spans="1:6" x14ac:dyDescent="0.25">
      <c r="B3" s="1" t="s">
        <v>11</v>
      </c>
      <c r="C3" s="1" t="s">
        <v>12</v>
      </c>
      <c r="D3" s="28" t="s">
        <v>13</v>
      </c>
      <c r="E3" s="28" t="s">
        <v>21</v>
      </c>
    </row>
    <row r="4" spans="1:6" x14ac:dyDescent="0.25">
      <c r="A4" s="1" t="s">
        <v>6</v>
      </c>
      <c r="D4" s="31"/>
      <c r="E4" s="12"/>
    </row>
    <row r="5" spans="1:6" x14ac:dyDescent="0.25">
      <c r="A5" t="s">
        <v>56</v>
      </c>
      <c r="B5" s="30">
        <f>Eingabe!C4</f>
        <v>21.6</v>
      </c>
      <c r="C5" t="s">
        <v>15</v>
      </c>
      <c r="D5" s="31"/>
      <c r="E5" s="12"/>
    </row>
    <row r="6" spans="1:6" x14ac:dyDescent="0.25">
      <c r="A6" t="s">
        <v>20</v>
      </c>
      <c r="B6">
        <f>Eingabe!C9</f>
        <v>1</v>
      </c>
      <c r="C6" t="s">
        <v>46</v>
      </c>
      <c r="D6" s="31"/>
      <c r="E6" s="35">
        <f>(((3*B5)-B6)*-0.05)/B5</f>
        <v>-0.14768518518518522</v>
      </c>
      <c r="F6" t="s">
        <v>95</v>
      </c>
    </row>
    <row r="7" spans="1:6" x14ac:dyDescent="0.25">
      <c r="A7" t="s">
        <v>1</v>
      </c>
      <c r="B7">
        <f>Eingabe!C5</f>
        <v>8</v>
      </c>
      <c r="C7" t="s">
        <v>39</v>
      </c>
      <c r="D7" s="31">
        <f>IF(B7&lt;=0,0,IF(B7&lt;=5,5+(B7/5)*5,IF(B7&lt;=10,10+((B7-5)/5)*10,IF(B7&lt;=15,20+((B7-10)/5)*15,IF(B7&lt;=20,35+((B7-15)/5)*20,IF(B7&lt;=25,55+((B7-20)/5)*25,IF(B7&lt;=30,80+((B7-25)/5)*30,IF(B7&lt;=35,110+((B7-30)/5)*40,IF(B7&lt;=40,150+((B7-35)/5)*50,IF(B7&lt;=45,200+((B7-40)/5)*60,IF(B7&lt;=50,260+((B7-45)/5)*70,330+((B7-50)/5)*80)))))))))))/100</f>
        <v>0.16</v>
      </c>
      <c r="E7" s="12"/>
      <c r="F7" t="s">
        <v>69</v>
      </c>
    </row>
    <row r="8" spans="1:6" x14ac:dyDescent="0.25">
      <c r="A8" t="s">
        <v>18</v>
      </c>
      <c r="B8">
        <f>Eingabe!C6</f>
        <v>35</v>
      </c>
      <c r="C8" t="s">
        <v>45</v>
      </c>
      <c r="D8" s="31">
        <f>IF(B8=35, -22.22, IF(B8=45, 0, IF(B8&lt;45, 100 * ((B8 / 35) - 1), 100 * ((B8 / 45)^1.1 - 1))))/100</f>
        <v>-0.22219999999999998</v>
      </c>
      <c r="E8" s="12"/>
      <c r="F8" t="s">
        <v>70</v>
      </c>
    </row>
    <row r="9" spans="1:6" x14ac:dyDescent="0.25">
      <c r="D9" s="31"/>
      <c r="E9" s="12"/>
    </row>
    <row r="10" spans="1:6" x14ac:dyDescent="0.25">
      <c r="A10" s="1" t="s">
        <v>7</v>
      </c>
      <c r="D10" s="31"/>
      <c r="E10" s="12"/>
    </row>
    <row r="11" spans="1:6" x14ac:dyDescent="0.25">
      <c r="A11" t="s">
        <v>8</v>
      </c>
      <c r="B11">
        <f>Eingabe!C10</f>
        <v>8</v>
      </c>
      <c r="C11" t="s">
        <v>55</v>
      </c>
      <c r="D11" s="31"/>
      <c r="E11" s="12"/>
    </row>
    <row r="12" spans="1:6" x14ac:dyDescent="0.25">
      <c r="A12" t="s">
        <v>2</v>
      </c>
      <c r="B12">
        <f>B11*B5</f>
        <v>172.8</v>
      </c>
      <c r="C12" t="s">
        <v>15</v>
      </c>
      <c r="D12" s="31"/>
      <c r="E12" s="12"/>
      <c r="F12" s="4" t="s">
        <v>58</v>
      </c>
    </row>
    <row r="13" spans="1:6" x14ac:dyDescent="0.25">
      <c r="A13" t="s">
        <v>20</v>
      </c>
      <c r="B13">
        <f>B6*B11</f>
        <v>8</v>
      </c>
      <c r="C13" t="s">
        <v>44</v>
      </c>
      <c r="D13" s="31"/>
      <c r="E13" s="12"/>
      <c r="F13" s="4"/>
    </row>
    <row r="14" spans="1:6" x14ac:dyDescent="0.25">
      <c r="D14" s="31"/>
      <c r="E14" s="12"/>
    </row>
    <row r="15" spans="1:6" x14ac:dyDescent="0.25">
      <c r="A15" s="1" t="s">
        <v>74</v>
      </c>
      <c r="D15" s="31"/>
      <c r="E15" s="12"/>
    </row>
    <row r="16" spans="1:6" x14ac:dyDescent="0.25">
      <c r="A16" t="s">
        <v>94</v>
      </c>
      <c r="B16">
        <f>Eingabe!C19</f>
        <v>1</v>
      </c>
      <c r="C16" t="s">
        <v>47</v>
      </c>
      <c r="D16" s="31"/>
      <c r="E16" s="12"/>
    </row>
    <row r="17" spans="1:6" x14ac:dyDescent="0.25">
      <c r="A17" t="s">
        <v>48</v>
      </c>
      <c r="B17">
        <f>Eingabe!C20</f>
        <v>12</v>
      </c>
      <c r="C17" t="s">
        <v>15</v>
      </c>
      <c r="D17" s="31">
        <f>IF(B17&lt;=3,(0),B17/100)*B16</f>
        <v>0.12</v>
      </c>
      <c r="E17" s="12"/>
    </row>
    <row r="18" spans="1:6" x14ac:dyDescent="0.25">
      <c r="D18" s="31"/>
      <c r="E18" s="12"/>
    </row>
    <row r="19" spans="1:6" x14ac:dyDescent="0.25">
      <c r="A19" s="1" t="s">
        <v>3</v>
      </c>
      <c r="B19">
        <v>20</v>
      </c>
      <c r="C19" t="s">
        <v>10</v>
      </c>
      <c r="D19" s="31">
        <f>IF(B19&lt;=-20,0.8,IF(AND(B19&gt;-20,B19&lt;=-18),0.7,IF(AND(B19&gt;-18,B19&lt;=-16),0.6,IF(AND(B19&gt;-16,B19&lt;=-14),0.5,IF(AND(B19&gt;-14,B19&lt;=-12),0.4,IF(AND(B19&gt;-12,B19&lt;=-10),0.35,IF(AND(B19&gt;-10,B19&lt;=-8),0.3,IF(AND(B19&gt;-8,B19&lt;=-6),0.25,IF(AND(B19&gt;-6,B19&lt;=-4),0.2,IF(AND(B19&gt;-4,B19&lt;=-2),0.15,IF(AND(B19&gt;-2,B19&lt;=0),0.1,IF(AND(B19&gt;=0,B19&lt;=2),0.08,IF(AND(B19&gt;2,B19&lt;=4),0.06,IF(AND(B19&gt;4,B19&lt;=6),0.04,IF(AND(B19&gt;6,B19&lt;=8),0.03,IF(AND(B19&gt;8,B19&lt;=10),0.02,IF(B19&gt;10,0,"")))))))))))))))))</f>
        <v>0</v>
      </c>
      <c r="E19" s="12"/>
    </row>
    <row r="20" spans="1:6" x14ac:dyDescent="0.25">
      <c r="A20" s="1" t="s">
        <v>59</v>
      </c>
      <c r="B20">
        <v>0</v>
      </c>
      <c r="C20" t="s">
        <v>9</v>
      </c>
      <c r="D20" s="31">
        <f>IF(B20 = 0, 0, IF(AND(B20 &gt; 0, B20 &lt;= 5), 0.1, IF(AND(B20 &gt; 5, B20 &lt;= 10), 0.2, IF(B20 &gt; 10, 0.3, ""))))*0.7</f>
        <v>0</v>
      </c>
      <c r="E20" s="12"/>
    </row>
    <row r="21" spans="1:6" x14ac:dyDescent="0.25">
      <c r="A21" s="1" t="s">
        <v>61</v>
      </c>
      <c r="B21">
        <v>1</v>
      </c>
      <c r="C21" t="s">
        <v>62</v>
      </c>
      <c r="D21" s="31">
        <f>IF(B21 = 1,0.05,0)</f>
        <v>0.05</v>
      </c>
      <c r="E21" s="12"/>
      <c r="F21" t="s">
        <v>98</v>
      </c>
    </row>
    <row r="22" spans="1:6" x14ac:dyDescent="0.25">
      <c r="C22" t="s">
        <v>16</v>
      </c>
      <c r="D22" s="31">
        <f>SUM(D1:D21)</f>
        <v>0.10780000000000002</v>
      </c>
      <c r="E22" s="36">
        <f>SUM(E1:E21)</f>
        <v>-0.14768518518518522</v>
      </c>
    </row>
    <row r="25" spans="1:6" x14ac:dyDescent="0.25">
      <c r="A25" s="1" t="s">
        <v>115</v>
      </c>
    </row>
    <row r="26" spans="1:6" x14ac:dyDescent="0.25">
      <c r="A26" s="4" t="s">
        <v>23</v>
      </c>
      <c r="B26">
        <f>IF(Eingabe!B33&lt;10, 0.8, IF(AND(Eingabe!B33&gt;=10,Eingabe!B33&lt; 12.99), 1, IF(AND(Eingabe!B33&gt;=13,Eingabe!B33&lt; 17.99), 1.3, IF(AND(Eingabe!B33&gt;=18,Eingabe!B33&lt;= 24), 1.6, ""))))</f>
        <v>0.8</v>
      </c>
      <c r="C26" t="s">
        <v>14</v>
      </c>
      <c r="F26" t="s">
        <v>40</v>
      </c>
    </row>
    <row r="27" spans="1:6" x14ac:dyDescent="0.25">
      <c r="A27" t="s">
        <v>121</v>
      </c>
      <c r="B27" s="26">
        <f>B26*(1+D22)</f>
        <v>0.88624000000000014</v>
      </c>
      <c r="C27" t="s">
        <v>14</v>
      </c>
      <c r="F27" t="s">
        <v>64</v>
      </c>
    </row>
    <row r="28" spans="1:6" x14ac:dyDescent="0.25">
      <c r="A28" s="12" t="s">
        <v>114</v>
      </c>
      <c r="B28" s="37">
        <f>B27+E22</f>
        <v>0.73855481481481489</v>
      </c>
      <c r="C28" s="12" t="s">
        <v>14</v>
      </c>
    </row>
    <row r="29" spans="1:6" x14ac:dyDescent="0.25">
      <c r="A29" t="s">
        <v>134</v>
      </c>
      <c r="B29" s="26">
        <v>2.78</v>
      </c>
      <c r="C29" t="s">
        <v>14</v>
      </c>
      <c r="F29" t="s">
        <v>77</v>
      </c>
    </row>
  </sheetData>
  <pageMargins left="0.7" right="0.7" top="0.78740157499999996" bottom="0.78740157499999996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8"/>
  <sheetViews>
    <sheetView zoomScale="117" zoomScaleNormal="140" workbookViewId="0">
      <selection activeCell="B8" sqref="B8"/>
    </sheetView>
  </sheetViews>
  <sheetFormatPr baseColWidth="10" defaultRowHeight="15.75" x14ac:dyDescent="0.25"/>
  <cols>
    <col min="1" max="1" width="53" customWidth="1"/>
    <col min="2" max="2" width="23.375" customWidth="1"/>
    <col min="4" max="4" width="2" customWidth="1"/>
    <col min="5" max="5" width="11.125" customWidth="1"/>
    <col min="6" max="6" width="51" customWidth="1"/>
  </cols>
  <sheetData>
    <row r="1" spans="1:6" x14ac:dyDescent="0.25">
      <c r="A1" s="1" t="s">
        <v>144</v>
      </c>
    </row>
    <row r="3" spans="1:6" x14ac:dyDescent="0.25">
      <c r="A3" s="1" t="s">
        <v>138</v>
      </c>
    </row>
    <row r="4" spans="1:6" x14ac:dyDescent="0.25">
      <c r="A4" t="s">
        <v>4</v>
      </c>
      <c r="B4" s="30">
        <f>'Verbrauch pro km MaxBel'!B5*'Verbrauch pro km MaxBel'!B11</f>
        <v>172.8</v>
      </c>
      <c r="C4" t="s">
        <v>15</v>
      </c>
    </row>
    <row r="5" spans="1:6" x14ac:dyDescent="0.25">
      <c r="A5" t="s">
        <v>145</v>
      </c>
      <c r="B5" s="26">
        <f>'Verbrauch pro km Sommer'!B28</f>
        <v>0.73855481481481489</v>
      </c>
      <c r="C5" t="s">
        <v>14</v>
      </c>
    </row>
    <row r="6" spans="1:6" x14ac:dyDescent="0.25">
      <c r="A6" s="12" t="s">
        <v>130</v>
      </c>
      <c r="B6" s="24">
        <f>(B4*B5)</f>
        <v>127.62227200000002</v>
      </c>
      <c r="C6" s="12" t="s">
        <v>5</v>
      </c>
      <c r="F6" t="s">
        <v>80</v>
      </c>
    </row>
    <row r="7" spans="1:6" x14ac:dyDescent="0.25">
      <c r="A7" s="12" t="s">
        <v>122</v>
      </c>
      <c r="B7" s="24">
        <f>B6/0.8</f>
        <v>159.52784000000003</v>
      </c>
      <c r="C7" s="12" t="s">
        <v>5</v>
      </c>
      <c r="F7" s="15"/>
    </row>
    <row r="9" spans="1:6" x14ac:dyDescent="0.25">
      <c r="A9" s="1" t="s">
        <v>22</v>
      </c>
    </row>
    <row r="10" spans="1:6" x14ac:dyDescent="0.25">
      <c r="A10" s="1"/>
    </row>
    <row r="11" spans="1:6" x14ac:dyDescent="0.25">
      <c r="A11" s="1" t="s">
        <v>146</v>
      </c>
    </row>
    <row r="12" spans="1:6" x14ac:dyDescent="0.25">
      <c r="A12" t="s">
        <v>76</v>
      </c>
      <c r="B12">
        <v>1</v>
      </c>
      <c r="C12" t="s">
        <v>43</v>
      </c>
      <c r="F12" t="s">
        <v>116</v>
      </c>
    </row>
    <row r="13" spans="1:6" x14ac:dyDescent="0.25">
      <c r="A13" t="s">
        <v>17</v>
      </c>
      <c r="B13" s="23">
        <v>0.8</v>
      </c>
      <c r="C13" t="s">
        <v>57</v>
      </c>
    </row>
    <row r="14" spans="1:6" x14ac:dyDescent="0.25">
      <c r="A14" t="s">
        <v>65</v>
      </c>
      <c r="B14" s="3">
        <f>B6/(1+B13)</f>
        <v>70.901262222222229</v>
      </c>
      <c r="C14" t="s">
        <v>5</v>
      </c>
    </row>
    <row r="15" spans="1:6" x14ac:dyDescent="0.25">
      <c r="A15" s="12" t="s">
        <v>110</v>
      </c>
      <c r="B15" s="24">
        <f>B14/0.8</f>
        <v>88.626577777777783</v>
      </c>
      <c r="C15" s="12" t="s">
        <v>5</v>
      </c>
    </row>
    <row r="17" spans="1:6" x14ac:dyDescent="0.25">
      <c r="A17" s="1" t="s">
        <v>117</v>
      </c>
      <c r="F17" s="15"/>
    </row>
    <row r="18" spans="1:6" x14ac:dyDescent="0.25">
      <c r="A18" t="s">
        <v>118</v>
      </c>
      <c r="B18" s="3">
        <f>(Eingabe!B16*1000)*9.81*(SIN(ATAN(Eingabe!B21/100))+0.006*COS(ATAN(Eingabe!B21/100)))*(25/3.6)/1000</f>
        <v>92.845351267348065</v>
      </c>
      <c r="C18" t="s">
        <v>19</v>
      </c>
      <c r="F18" s="15"/>
    </row>
    <row r="19" spans="1:6" x14ac:dyDescent="0.25">
      <c r="A19" t="s">
        <v>108</v>
      </c>
      <c r="B19">
        <v>80</v>
      </c>
      <c r="C19" t="s">
        <v>39</v>
      </c>
    </row>
    <row r="20" spans="1:6" x14ac:dyDescent="0.25">
      <c r="A20" s="12" t="s">
        <v>109</v>
      </c>
      <c r="B20" s="29">
        <f>B18/B19*100</f>
        <v>116.05668908418507</v>
      </c>
      <c r="C20" s="12" t="s">
        <v>19</v>
      </c>
      <c r="F20" t="s">
        <v>37</v>
      </c>
    </row>
    <row r="21" spans="1:6" ht="18.75" x14ac:dyDescent="0.3">
      <c r="A21" s="9"/>
      <c r="B21" s="27"/>
      <c r="C21" s="11"/>
      <c r="F21" s="15"/>
    </row>
    <row r="22" spans="1:6" ht="18.75" x14ac:dyDescent="0.3">
      <c r="A22" s="9"/>
      <c r="B22" s="10"/>
      <c r="C22" s="11"/>
      <c r="F22" s="15"/>
    </row>
    <row r="23" spans="1:6" ht="18.75" x14ac:dyDescent="0.3">
      <c r="A23" s="9"/>
      <c r="B23" s="10"/>
      <c r="C23" s="11"/>
      <c r="F23" s="15"/>
    </row>
    <row r="24" spans="1:6" ht="18.75" x14ac:dyDescent="0.3">
      <c r="A24" s="9"/>
      <c r="B24" s="10"/>
      <c r="C24" s="11"/>
      <c r="F24" s="15"/>
    </row>
    <row r="25" spans="1:6" ht="18.75" x14ac:dyDescent="0.3">
      <c r="A25" s="9"/>
      <c r="B25" s="16"/>
      <c r="C25" s="11"/>
      <c r="F25" s="15"/>
    </row>
    <row r="26" spans="1:6" ht="18.75" x14ac:dyDescent="0.3">
      <c r="A26" s="9"/>
      <c r="B26" s="10"/>
      <c r="C26" s="11"/>
      <c r="F26" s="15"/>
    </row>
    <row r="27" spans="1:6" ht="18.75" x14ac:dyDescent="0.3">
      <c r="A27" s="9"/>
      <c r="B27" s="16"/>
      <c r="C27" s="11"/>
      <c r="F27" s="15"/>
    </row>
    <row r="28" spans="1:6" ht="18.75" x14ac:dyDescent="0.3">
      <c r="A28" s="9"/>
      <c r="B28" s="10"/>
    </row>
    <row r="29" spans="1:6" ht="18.75" x14ac:dyDescent="0.3">
      <c r="A29" s="9"/>
      <c r="B29" s="10"/>
    </row>
    <row r="30" spans="1:6" x14ac:dyDescent="0.25">
      <c r="B30" s="3"/>
    </row>
    <row r="34" spans="1:3" x14ac:dyDescent="0.25">
      <c r="B34" s="18"/>
    </row>
    <row r="35" spans="1:3" x14ac:dyDescent="0.25">
      <c r="A35" s="19"/>
      <c r="B35" s="20"/>
      <c r="C35" s="19"/>
    </row>
    <row r="36" spans="1:3" x14ac:dyDescent="0.25">
      <c r="A36" s="19"/>
      <c r="B36" s="20"/>
      <c r="C36" s="19"/>
    </row>
    <row r="37" spans="1:3" x14ac:dyDescent="0.25">
      <c r="A37" s="1"/>
      <c r="B37" s="18"/>
    </row>
    <row r="38" spans="1:3" x14ac:dyDescent="0.25">
      <c r="B38" s="18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9"/>
  <sheetViews>
    <sheetView tabSelected="1" zoomScale="125" zoomScaleNormal="100" workbookViewId="0">
      <selection activeCell="A16" sqref="A16"/>
    </sheetView>
  </sheetViews>
  <sheetFormatPr baseColWidth="10" defaultRowHeight="15.75" x14ac:dyDescent="0.25"/>
  <cols>
    <col min="1" max="1" width="52.5" customWidth="1"/>
    <col min="2" max="2" width="18.625" style="2" customWidth="1"/>
    <col min="3" max="3" width="6.875" style="2" customWidth="1"/>
    <col min="4" max="4" width="19.375" style="5" customWidth="1"/>
  </cols>
  <sheetData>
    <row r="1" spans="1:8" s="1" customFormat="1" ht="17.25" x14ac:dyDescent="0.3">
      <c r="A1" s="6" t="s">
        <v>123</v>
      </c>
    </row>
    <row r="2" spans="1:8" s="1" customFormat="1" ht="17.25" x14ac:dyDescent="0.3">
      <c r="A2" s="22" t="s">
        <v>124</v>
      </c>
      <c r="B2" s="7"/>
      <c r="C2" s="7"/>
      <c r="D2" s="8"/>
    </row>
    <row r="3" spans="1:8" s="1" customFormat="1" ht="17.25" x14ac:dyDescent="0.3">
      <c r="A3" s="6"/>
      <c r="B3" s="7"/>
      <c r="C3" s="7"/>
      <c r="D3" s="8"/>
    </row>
    <row r="4" spans="1:8" s="1" customFormat="1" ht="17.25" x14ac:dyDescent="0.3">
      <c r="A4" s="6" t="s">
        <v>24</v>
      </c>
      <c r="B4" s="7" t="s">
        <v>25</v>
      </c>
      <c r="C4" s="7" t="s">
        <v>12</v>
      </c>
      <c r="D4" s="8" t="s">
        <v>26</v>
      </c>
      <c r="E4" s="1" t="s">
        <v>133</v>
      </c>
    </row>
    <row r="6" spans="1:8" x14ac:dyDescent="0.25">
      <c r="A6" s="1" t="s">
        <v>36</v>
      </c>
    </row>
    <row r="7" spans="1:8" x14ac:dyDescent="0.25">
      <c r="A7" t="s">
        <v>35</v>
      </c>
      <c r="B7" s="2">
        <f>Eingabe!B14</f>
        <v>5.5</v>
      </c>
      <c r="C7" s="2" t="s">
        <v>42</v>
      </c>
      <c r="D7" s="5" t="s">
        <v>32</v>
      </c>
      <c r="E7" t="s">
        <v>67</v>
      </c>
    </row>
    <row r="8" spans="1:8" x14ac:dyDescent="0.25">
      <c r="A8" t="s">
        <v>33</v>
      </c>
      <c r="B8" s="2">
        <f>Eingabe!B16</f>
        <v>7.4450000000000003</v>
      </c>
      <c r="C8" s="2" t="s">
        <v>42</v>
      </c>
      <c r="D8" s="5" t="s">
        <v>32</v>
      </c>
      <c r="E8" t="s">
        <v>125</v>
      </c>
    </row>
    <row r="9" spans="1:8" x14ac:dyDescent="0.25">
      <c r="A9" t="s">
        <v>126</v>
      </c>
      <c r="B9" s="2">
        <f>B8+1</f>
        <v>8.4450000000000003</v>
      </c>
      <c r="C9" s="2" t="s">
        <v>42</v>
      </c>
      <c r="E9" t="s">
        <v>68</v>
      </c>
    </row>
    <row r="11" spans="1:8" x14ac:dyDescent="0.25">
      <c r="A11" s="1" t="s">
        <v>127</v>
      </c>
    </row>
    <row r="12" spans="1:8" x14ac:dyDescent="0.25">
      <c r="A12" t="s">
        <v>149</v>
      </c>
      <c r="B12" s="38">
        <f>'Eruierung Batterie MaxBel'!B14</f>
        <v>164.72546666666668</v>
      </c>
      <c r="C12" s="2" t="s">
        <v>5</v>
      </c>
      <c r="D12" s="5" t="s">
        <v>31</v>
      </c>
      <c r="E12" t="s">
        <v>128</v>
      </c>
    </row>
    <row r="13" spans="1:8" x14ac:dyDescent="0.25">
      <c r="A13" t="s">
        <v>150</v>
      </c>
      <c r="B13" s="38">
        <f>'Eruierung Batterie MaxBel'!B22</f>
        <v>133.47546666666668</v>
      </c>
      <c r="C13" s="2" t="s">
        <v>5</v>
      </c>
      <c r="D13" s="5" t="s">
        <v>31</v>
      </c>
    </row>
    <row r="14" spans="1:8" x14ac:dyDescent="0.25">
      <c r="A14" t="s">
        <v>151</v>
      </c>
      <c r="B14" s="38">
        <f>'Eruierung Batterie Sommer'!B7</f>
        <v>159.52784000000003</v>
      </c>
      <c r="C14" s="2" t="s">
        <v>5</v>
      </c>
      <c r="D14" s="5" t="s">
        <v>31</v>
      </c>
      <c r="E14" s="40" t="s">
        <v>129</v>
      </c>
      <c r="F14" s="40"/>
      <c r="G14" s="40"/>
      <c r="H14" s="40"/>
    </row>
    <row r="15" spans="1:8" x14ac:dyDescent="0.25">
      <c r="A15" t="s">
        <v>152</v>
      </c>
      <c r="B15" s="38">
        <f>'Eruierung Batterie Sommer'!B15</f>
        <v>88.626577777777783</v>
      </c>
      <c r="C15" s="2" t="s">
        <v>5</v>
      </c>
      <c r="D15" s="5" t="s">
        <v>31</v>
      </c>
      <c r="E15" s="40"/>
      <c r="F15" s="40"/>
      <c r="G15" s="40"/>
      <c r="H15" s="40"/>
    </row>
    <row r="17" spans="1:5" x14ac:dyDescent="0.25">
      <c r="A17" s="1" t="s">
        <v>29</v>
      </c>
    </row>
    <row r="18" spans="1:5" x14ac:dyDescent="0.25">
      <c r="A18" t="s">
        <v>27</v>
      </c>
      <c r="B18" s="38">
        <f>'Eruierung Batterie MaxBel'!B27</f>
        <v>116.05668908418507</v>
      </c>
      <c r="C18" s="2" t="s">
        <v>19</v>
      </c>
      <c r="D18" s="5" t="s">
        <v>28</v>
      </c>
      <c r="E18" t="s">
        <v>37</v>
      </c>
    </row>
    <row r="20" spans="1:5" x14ac:dyDescent="0.25">
      <c r="A20" s="1" t="s">
        <v>72</v>
      </c>
    </row>
    <row r="21" spans="1:5" x14ac:dyDescent="0.25">
      <c r="A21" t="s">
        <v>73</v>
      </c>
      <c r="B21" s="2" t="s">
        <v>30</v>
      </c>
      <c r="D21" s="5" t="s">
        <v>34</v>
      </c>
      <c r="E21" t="s">
        <v>66</v>
      </c>
    </row>
    <row r="22" spans="1:5" x14ac:dyDescent="0.25">
      <c r="B22" s="2" t="s">
        <v>50</v>
      </c>
      <c r="C22" s="2" t="s">
        <v>49</v>
      </c>
      <c r="D22" s="5" t="s">
        <v>34</v>
      </c>
      <c r="E22" t="s">
        <v>51</v>
      </c>
    </row>
    <row r="24" spans="1:5" ht="21" x14ac:dyDescent="0.35">
      <c r="A24" s="39"/>
    </row>
    <row r="39" spans="1:1" x14ac:dyDescent="0.25">
      <c r="A39" s="1"/>
    </row>
  </sheetData>
  <mergeCells count="1">
    <mergeCell ref="E14:H15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7B2397D314D434FADD6C7326599E04A" ma:contentTypeVersion="12" ma:contentTypeDescription="Ein neues Dokument erstellen." ma:contentTypeScope="" ma:versionID="f25cac6687f78c1d9c7bbb16f5615acb">
  <xsd:schema xmlns:xsd="http://www.w3.org/2001/XMLSchema" xmlns:xs="http://www.w3.org/2001/XMLSchema" xmlns:p="http://schemas.microsoft.com/office/2006/metadata/properties" xmlns:ns2="91b958c5-8819-48c4-9099-2fab021d945b" xmlns:ns3="7f58d225-7644-482b-897a-047e18b2ecda" targetNamespace="http://schemas.microsoft.com/office/2006/metadata/properties" ma:root="true" ma:fieldsID="2e107095aa586d8de758f06882c03b56" ns2:_="" ns3:_="">
    <xsd:import namespace="91b958c5-8819-48c4-9099-2fab021d945b"/>
    <xsd:import namespace="7f58d225-7644-482b-897a-047e18b2ec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b958c5-8819-48c4-9099-2fab021d94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Bildmarkierungen" ma:readOnly="false" ma:fieldId="{5cf76f15-5ced-4ddc-b409-7134ff3c332f}" ma:taxonomyMulti="true" ma:sspId="23627993-9615-4c5c-8b10-a4e2805baf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58d225-7644-482b-897a-047e18b2ecd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e71f540c-9740-4ced-8265-06119add81b4}" ma:internalName="TaxCatchAll" ma:showField="CatchAllData" ma:web="7f58d225-7644-482b-897a-047e18b2ec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1b958c5-8819-48c4-9099-2fab021d945b">
      <Terms xmlns="http://schemas.microsoft.com/office/infopath/2007/PartnerControls"/>
    </lcf76f155ced4ddcb4097134ff3c332f>
    <TaxCatchAll xmlns="7f58d225-7644-482b-897a-047e18b2ecda" xsi:nil="true"/>
  </documentManagement>
</p:properties>
</file>

<file path=customXml/itemProps1.xml><?xml version="1.0" encoding="utf-8"?>
<ds:datastoreItem xmlns:ds="http://schemas.openxmlformats.org/officeDocument/2006/customXml" ds:itemID="{26F2755B-6FC8-4163-B612-5FC4B6AC3A46}"/>
</file>

<file path=customXml/itemProps2.xml><?xml version="1.0" encoding="utf-8"?>
<ds:datastoreItem xmlns:ds="http://schemas.openxmlformats.org/officeDocument/2006/customXml" ds:itemID="{3287157C-3E09-43CD-8ED0-081334A96374}"/>
</file>

<file path=customXml/itemProps3.xml><?xml version="1.0" encoding="utf-8"?>
<ds:datastoreItem xmlns:ds="http://schemas.openxmlformats.org/officeDocument/2006/customXml" ds:itemID="{518D29EF-DD0C-4B29-8D6E-39D5967CDDC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Info</vt:lpstr>
      <vt:lpstr>Eingabe</vt:lpstr>
      <vt:lpstr>Verbrauch pro km MaxBel</vt:lpstr>
      <vt:lpstr>Eruierung Batterie MaxBel</vt:lpstr>
      <vt:lpstr>Verbrauch pro km Sommer</vt:lpstr>
      <vt:lpstr>Eruierung Batterie Sommer</vt:lpstr>
      <vt:lpstr>Anforderungsliste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Gruber;Alwin Bubendorfer</dc:creator>
  <cp:lastModifiedBy>Husen Stephan BAV</cp:lastModifiedBy>
  <dcterms:created xsi:type="dcterms:W3CDTF">2024-06-09T12:05:16Z</dcterms:created>
  <dcterms:modified xsi:type="dcterms:W3CDTF">2025-08-22T07:47:19Z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2025-08-22T07:46:37Z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783cb935-aeb5-47db-a84b-4807a9526420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  <property fmtid="{D5CDD505-2E9C-101B-9397-08002B2CF9AE}" pid="10" name="ContentTypeId">
    <vt:lpwstr>0x010100A7B2397D314D434FADD6C7326599E04A</vt:lpwstr>
  </property>
</Properties>
</file>