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2.xml" ContentType="application/vnd.openxmlformats-officedocument.drawing+xml"/>
  <Override PartName="/xl/drawings/drawing1.xml" ContentType="application/vnd.openxmlformats-officedocument.drawing+xml"/>
  <Override PartName="/xl/charts/style1.xml" ContentType="application/vnd.ms-office.chartstyle+xml"/>
  <Override PartName="/xl/charts/colors1.xml" ContentType="application/vnd.ms-office.chartcolorstyle+xml"/>
  <Override PartName="/xl/charts/chart1.xml" ContentType="application/vnd.openxmlformats-officedocument.drawingml.chart+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ustomProperty1.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PC\Desktop\"/>
    </mc:Choice>
  </mc:AlternateContent>
  <xr:revisionPtr revIDLastSave="0" documentId="8_{8BC0F69E-75EF-4C5B-AC0A-AFF35159DBE5}" xr6:coauthVersionLast="47" xr6:coauthVersionMax="47" xr10:uidLastSave="{00000000-0000-0000-0000-000000000000}"/>
  <bookViews>
    <workbookView xWindow="-108" yWindow="-108" windowWidth="23256" windowHeight="12456" tabRatio="935" firstSheet="2" activeTab="8" xr2:uid="{535C5530-7EB3-45E4-AF73-8CCB1C553EA4}"/>
  </bookViews>
  <sheets>
    <sheet name="Cover" sheetId="10" r:id="rId1"/>
    <sheet name="Instructions" sheetId="11" r:id="rId2"/>
    <sheet name="Summary CH" sheetId="12" r:id="rId3"/>
    <sheet name="Technical parameters TEMP" sheetId="13" r:id="rId4"/>
    <sheet name="Technical parameters PROD" sheetId="15" r:id="rId5"/>
    <sheet name="Economic parameters" sheetId="16" r:id="rId6"/>
    <sheet name="Cash-Flow Model" sheetId="17" r:id="rId7"/>
    <sheet name="Summary GeoVision world" sheetId="18" r:id="rId8"/>
    <sheet name="Cash-Flow Model GeoVision" sheetId="20"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 i="20" l="1"/>
  <c r="J13" i="20"/>
  <c r="K13" i="20"/>
  <c r="L13" i="20"/>
  <c r="M13" i="20"/>
  <c r="N13" i="20"/>
  <c r="O13" i="20"/>
  <c r="P13" i="20"/>
  <c r="Q13" i="20"/>
  <c r="R13" i="20"/>
  <c r="S13" i="20"/>
  <c r="T13" i="20"/>
  <c r="U13" i="20"/>
  <c r="V13" i="20"/>
  <c r="W13" i="20"/>
  <c r="X13" i="20"/>
  <c r="Y13" i="20"/>
  <c r="Z13" i="20"/>
  <c r="AA13" i="20"/>
  <c r="AB13" i="20"/>
  <c r="AC13" i="20"/>
  <c r="AD13" i="20"/>
  <c r="AE13" i="20"/>
  <c r="AF13" i="20"/>
  <c r="AG13" i="20"/>
  <c r="AH13" i="20"/>
  <c r="AI13" i="20"/>
  <c r="AJ13" i="20"/>
  <c r="AK13" i="20"/>
  <c r="AL13" i="20"/>
  <c r="AM13" i="20"/>
  <c r="AN13" i="20"/>
  <c r="AO13" i="20"/>
  <c r="AP13" i="20"/>
  <c r="AQ13" i="20"/>
  <c r="AR13" i="20"/>
  <c r="AS13" i="20"/>
  <c r="AT13" i="20"/>
  <c r="AU13" i="20"/>
  <c r="AV13" i="20"/>
  <c r="AW13" i="20"/>
  <c r="AX13" i="20"/>
  <c r="AY13" i="20"/>
  <c r="AZ13" i="20"/>
  <c r="BA13" i="20"/>
  <c r="BB13" i="20"/>
  <c r="BC13" i="20"/>
  <c r="BD13" i="20"/>
  <c r="BE13" i="20"/>
  <c r="H13" i="20"/>
  <c r="I11" i="20"/>
  <c r="J11" i="20"/>
  <c r="K11" i="20"/>
  <c r="L11" i="20"/>
  <c r="M11" i="20"/>
  <c r="N11" i="20"/>
  <c r="O11" i="20"/>
  <c r="P11" i="20"/>
  <c r="Q11" i="20"/>
  <c r="R11" i="20"/>
  <c r="S11" i="20"/>
  <c r="T11" i="20"/>
  <c r="U11" i="20"/>
  <c r="V11" i="20"/>
  <c r="W11" i="20"/>
  <c r="X11" i="20"/>
  <c r="Y11" i="20"/>
  <c r="Z11" i="20"/>
  <c r="AA11" i="20"/>
  <c r="AB11" i="20"/>
  <c r="AC11" i="20"/>
  <c r="AD11" i="20"/>
  <c r="AE11" i="20"/>
  <c r="AF11" i="20"/>
  <c r="AG11" i="20"/>
  <c r="AH11" i="20"/>
  <c r="AI11" i="20"/>
  <c r="AJ11" i="20"/>
  <c r="AK11" i="20"/>
  <c r="AL11" i="20"/>
  <c r="AM11" i="20"/>
  <c r="AN11" i="20"/>
  <c r="AO11" i="20"/>
  <c r="AP11" i="20"/>
  <c r="AQ11" i="20"/>
  <c r="AR11" i="20"/>
  <c r="AS11" i="20"/>
  <c r="AT11" i="20"/>
  <c r="AU11" i="20"/>
  <c r="AV11" i="20"/>
  <c r="AW11" i="20"/>
  <c r="AX11" i="20"/>
  <c r="AY11" i="20"/>
  <c r="AZ11" i="20"/>
  <c r="BA11" i="20"/>
  <c r="BB11" i="20"/>
  <c r="BC11" i="20"/>
  <c r="BD11" i="20"/>
  <c r="BE11" i="20"/>
  <c r="H11" i="20"/>
  <c r="I13" i="17" l="1"/>
  <c r="J13" i="17"/>
  <c r="K13" i="17"/>
  <c r="L13" i="17"/>
  <c r="M13" i="17"/>
  <c r="N13" i="17"/>
  <c r="O13" i="17"/>
  <c r="P13" i="17"/>
  <c r="Q13" i="17"/>
  <c r="R13" i="17"/>
  <c r="S13" i="17"/>
  <c r="T13" i="17"/>
  <c r="U13" i="17"/>
  <c r="V13" i="17"/>
  <c r="W13" i="17"/>
  <c r="X13" i="17"/>
  <c r="Y13" i="17"/>
  <c r="Z13" i="17"/>
  <c r="AA13" i="17"/>
  <c r="AB13" i="17"/>
  <c r="AC13" i="17"/>
  <c r="AD13" i="17"/>
  <c r="AE13" i="17"/>
  <c r="AF13" i="17"/>
  <c r="AG13" i="17"/>
  <c r="AH13" i="17"/>
  <c r="AI13" i="17"/>
  <c r="AJ13" i="17"/>
  <c r="AK13" i="17"/>
  <c r="AL13" i="17"/>
  <c r="AM13" i="17"/>
  <c r="AN13" i="17"/>
  <c r="AO13" i="17"/>
  <c r="AP13" i="17"/>
  <c r="AQ13" i="17"/>
  <c r="AR13" i="17"/>
  <c r="AS13" i="17"/>
  <c r="AT13" i="17"/>
  <c r="AU13" i="17"/>
  <c r="AV13" i="17"/>
  <c r="AW13" i="17"/>
  <c r="AX13" i="17"/>
  <c r="AY13" i="17"/>
  <c r="AZ13" i="17"/>
  <c r="BA13" i="17"/>
  <c r="BB13" i="17"/>
  <c r="BC13" i="17"/>
  <c r="BD13" i="17"/>
  <c r="BE13" i="17"/>
  <c r="I11" i="17"/>
  <c r="J11" i="17"/>
  <c r="K11" i="17"/>
  <c r="L11" i="17"/>
  <c r="M11" i="17"/>
  <c r="N11" i="17"/>
  <c r="O11" i="17"/>
  <c r="P11" i="17"/>
  <c r="Q11" i="17"/>
  <c r="R11" i="17"/>
  <c r="S11" i="17"/>
  <c r="T11" i="17"/>
  <c r="U11" i="17"/>
  <c r="V11" i="17"/>
  <c r="W11" i="17"/>
  <c r="X11" i="17"/>
  <c r="Y11" i="17"/>
  <c r="Z11" i="17"/>
  <c r="AA11" i="17"/>
  <c r="AB11" i="17"/>
  <c r="AC11" i="17"/>
  <c r="AD11" i="17"/>
  <c r="AE11" i="17"/>
  <c r="AF11" i="17"/>
  <c r="AG11" i="17"/>
  <c r="AH11" i="17"/>
  <c r="AI11" i="17"/>
  <c r="AJ11" i="17"/>
  <c r="AK11" i="17"/>
  <c r="AL11" i="17"/>
  <c r="AM11" i="17"/>
  <c r="AN11" i="17"/>
  <c r="AO11" i="17"/>
  <c r="AP11" i="17"/>
  <c r="AQ11" i="17"/>
  <c r="AR11" i="17"/>
  <c r="AS11" i="17"/>
  <c r="AT11" i="17"/>
  <c r="AU11" i="17"/>
  <c r="AV11" i="17"/>
  <c r="AW11" i="17"/>
  <c r="AX11" i="17"/>
  <c r="AY11" i="17"/>
  <c r="AZ11" i="17"/>
  <c r="BA11" i="17"/>
  <c r="BB11" i="17"/>
  <c r="BC11" i="17"/>
  <c r="BD11" i="17"/>
  <c r="BE11" i="17"/>
  <c r="H13" i="17"/>
  <c r="H11" i="17"/>
  <c r="C26" i="15"/>
  <c r="C20" i="15"/>
  <c r="C19" i="15"/>
  <c r="C63" i="13"/>
  <c r="C6" i="15"/>
  <c r="C15" i="13"/>
  <c r="D10" i="12"/>
  <c r="D30" i="13"/>
  <c r="C42" i="13"/>
  <c r="C11" i="15"/>
  <c r="T76" i="16"/>
  <c r="O49" i="16"/>
  <c r="F76" i="16"/>
  <c r="C34" i="16"/>
  <c r="C34" i="18"/>
  <c r="C33" i="18"/>
  <c r="C31" i="18"/>
  <c r="C30" i="18"/>
  <c r="D9" i="18"/>
  <c r="BE52" i="20" l="1"/>
  <c r="BD52" i="20"/>
  <c r="BC52" i="20"/>
  <c r="BB52"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Z52" i="20"/>
  <c r="Y52" i="20"/>
  <c r="X52" i="20"/>
  <c r="W52" i="20"/>
  <c r="V52" i="20"/>
  <c r="U52" i="20"/>
  <c r="T52" i="20"/>
  <c r="S52" i="20"/>
  <c r="R52" i="20"/>
  <c r="Q52" i="20"/>
  <c r="P52" i="20"/>
  <c r="O52" i="20"/>
  <c r="N52" i="20"/>
  <c r="M52" i="20"/>
  <c r="L52" i="20"/>
  <c r="K52" i="20"/>
  <c r="J52" i="20"/>
  <c r="I52" i="20"/>
  <c r="H52" i="20"/>
  <c r="G50" i="20"/>
  <c r="F50" i="20"/>
  <c r="E50" i="20"/>
  <c r="G38" i="20"/>
  <c r="G42" i="20" s="1"/>
  <c r="F38" i="20"/>
  <c r="F42" i="20" s="1"/>
  <c r="E38" i="20"/>
  <c r="E42" i="20" s="1"/>
  <c r="E43" i="20" s="1"/>
  <c r="BE35" i="20"/>
  <c r="BE36" i="20" s="1"/>
  <c r="BD35" i="20"/>
  <c r="BD36" i="20" s="1"/>
  <c r="BC35" i="20"/>
  <c r="BC36" i="20" s="1"/>
  <c r="BB35" i="20"/>
  <c r="BB36" i="20" s="1"/>
  <c r="BA35" i="20"/>
  <c r="BA36" i="20" s="1"/>
  <c r="AZ35" i="20"/>
  <c r="AZ36" i="20" s="1"/>
  <c r="AY35" i="20"/>
  <c r="AY36" i="20" s="1"/>
  <c r="AX35" i="20"/>
  <c r="AX36" i="20" s="1"/>
  <c r="AW35" i="20"/>
  <c r="AW36" i="20" s="1"/>
  <c r="AV35" i="20"/>
  <c r="AV36" i="20" s="1"/>
  <c r="AU35" i="20"/>
  <c r="AU36" i="20" s="1"/>
  <c r="AT35" i="20"/>
  <c r="AT36" i="20" s="1"/>
  <c r="AS35" i="20"/>
  <c r="AS36" i="20" s="1"/>
  <c r="AR35" i="20"/>
  <c r="AR36" i="20" s="1"/>
  <c r="AQ35" i="20"/>
  <c r="AQ36" i="20" s="1"/>
  <c r="AP35" i="20"/>
  <c r="AP36" i="20" s="1"/>
  <c r="AO35" i="20"/>
  <c r="AO36" i="20" s="1"/>
  <c r="AN35" i="20"/>
  <c r="AN36" i="20" s="1"/>
  <c r="AM35" i="20"/>
  <c r="AM36" i="20" s="1"/>
  <c r="AL35" i="20"/>
  <c r="AL36" i="20" s="1"/>
  <c r="AK35" i="20"/>
  <c r="AK36" i="20" s="1"/>
  <c r="AJ35" i="20"/>
  <c r="AJ36" i="20" s="1"/>
  <c r="AI35" i="20"/>
  <c r="AI36" i="20" s="1"/>
  <c r="AH35" i="20"/>
  <c r="AH36" i="20" s="1"/>
  <c r="AG35" i="20"/>
  <c r="AG36" i="20" s="1"/>
  <c r="AF35" i="20"/>
  <c r="AF36" i="20" s="1"/>
  <c r="AE35" i="20"/>
  <c r="AE36" i="20" s="1"/>
  <c r="AD35" i="20"/>
  <c r="AD36" i="20" s="1"/>
  <c r="AC35" i="20"/>
  <c r="AC36" i="20" s="1"/>
  <c r="AB35" i="20"/>
  <c r="AB36" i="20" s="1"/>
  <c r="AA35" i="20"/>
  <c r="AA36" i="20" s="1"/>
  <c r="Z35" i="20"/>
  <c r="Z36" i="20" s="1"/>
  <c r="Y35" i="20"/>
  <c r="Y36" i="20" s="1"/>
  <c r="X35" i="20"/>
  <c r="X36" i="20" s="1"/>
  <c r="W35" i="20"/>
  <c r="W36" i="20" s="1"/>
  <c r="V35" i="20"/>
  <c r="V36" i="20" s="1"/>
  <c r="U35" i="20"/>
  <c r="U36" i="20" s="1"/>
  <c r="T35" i="20"/>
  <c r="T36" i="20" s="1"/>
  <c r="S35" i="20"/>
  <c r="S36" i="20" s="1"/>
  <c r="R35" i="20"/>
  <c r="R36" i="20" s="1"/>
  <c r="Q35" i="20"/>
  <c r="Q36" i="20" s="1"/>
  <c r="P35" i="20"/>
  <c r="P36" i="20" s="1"/>
  <c r="O35" i="20"/>
  <c r="O36" i="20" s="1"/>
  <c r="N35" i="20"/>
  <c r="N36" i="20" s="1"/>
  <c r="M35" i="20"/>
  <c r="M36" i="20" s="1"/>
  <c r="L35" i="20"/>
  <c r="L36" i="20" s="1"/>
  <c r="K35" i="20"/>
  <c r="K36" i="20" s="1"/>
  <c r="J35" i="20"/>
  <c r="J36" i="20" s="1"/>
  <c r="I35" i="20"/>
  <c r="I36" i="20" s="1"/>
  <c r="H35" i="20"/>
  <c r="H36" i="20" s="1"/>
  <c r="BE27" i="20"/>
  <c r="BD27" i="20"/>
  <c r="BC27" i="20"/>
  <c r="BB27" i="20"/>
  <c r="BA27" i="20"/>
  <c r="AZ27" i="20"/>
  <c r="AY27" i="20"/>
  <c r="AX27" i="20"/>
  <c r="AW27" i="20"/>
  <c r="AV27" i="20"/>
  <c r="AU27" i="20"/>
  <c r="AT27" i="20"/>
  <c r="AS27" i="20"/>
  <c r="AR27" i="20"/>
  <c r="AQ27" i="20"/>
  <c r="AP27" i="20"/>
  <c r="AO27" i="20"/>
  <c r="AN27" i="20"/>
  <c r="AM27" i="20"/>
  <c r="AL27" i="20"/>
  <c r="AK27" i="20"/>
  <c r="AJ27" i="20"/>
  <c r="AI27" i="20"/>
  <c r="AH27" i="20"/>
  <c r="AG27" i="20"/>
  <c r="AF27" i="20"/>
  <c r="AE27" i="20"/>
  <c r="AD27" i="20"/>
  <c r="AC27" i="20"/>
  <c r="AB27" i="20"/>
  <c r="AA27" i="20"/>
  <c r="Z27" i="20"/>
  <c r="Y27" i="20"/>
  <c r="X27" i="20"/>
  <c r="W27" i="20"/>
  <c r="V27" i="20"/>
  <c r="U27" i="20"/>
  <c r="T27" i="20"/>
  <c r="S27" i="20"/>
  <c r="R27" i="20"/>
  <c r="Q27" i="20"/>
  <c r="P27" i="20"/>
  <c r="O27" i="20"/>
  <c r="N27" i="20"/>
  <c r="M27" i="20"/>
  <c r="L27" i="20"/>
  <c r="K27" i="20"/>
  <c r="J27" i="20"/>
  <c r="I27" i="20"/>
  <c r="H27" i="20"/>
  <c r="BE25" i="20"/>
  <c r="BD25" i="20"/>
  <c r="BC25" i="20"/>
  <c r="BB25" i="20"/>
  <c r="BA25" i="20"/>
  <c r="AZ25" i="20"/>
  <c r="AY25" i="20"/>
  <c r="AX25" i="20"/>
  <c r="AW25" i="20"/>
  <c r="AV25" i="20"/>
  <c r="AU25" i="20"/>
  <c r="AT25" i="20"/>
  <c r="AS25" i="20"/>
  <c r="AR25" i="20"/>
  <c r="AQ25" i="20"/>
  <c r="AP25" i="20"/>
  <c r="AO25" i="20"/>
  <c r="AN25" i="20"/>
  <c r="AM25" i="20"/>
  <c r="AL25" i="20"/>
  <c r="AK25" i="20"/>
  <c r="AJ25" i="20"/>
  <c r="AI25" i="20"/>
  <c r="AH25" i="20"/>
  <c r="AG25" i="20"/>
  <c r="AF25" i="20"/>
  <c r="AE25" i="20"/>
  <c r="AD25" i="20"/>
  <c r="AC25" i="20"/>
  <c r="AB25" i="20"/>
  <c r="AA25" i="20"/>
  <c r="Z25" i="20"/>
  <c r="Y25" i="20"/>
  <c r="X25" i="20"/>
  <c r="W25" i="20"/>
  <c r="V25" i="20"/>
  <c r="U25" i="20"/>
  <c r="T25" i="20"/>
  <c r="S25" i="20"/>
  <c r="R25" i="20"/>
  <c r="Q25" i="20"/>
  <c r="P25" i="20"/>
  <c r="O25" i="20"/>
  <c r="N25" i="20"/>
  <c r="M25" i="20"/>
  <c r="L25" i="20"/>
  <c r="K25" i="20"/>
  <c r="J25" i="20"/>
  <c r="I25" i="20"/>
  <c r="H25" i="20"/>
  <c r="BE23" i="20"/>
  <c r="BD23" i="20"/>
  <c r="BC23" i="20"/>
  <c r="BB23" i="20"/>
  <c r="BA23" i="20"/>
  <c r="AZ23" i="20"/>
  <c r="AY23" i="20"/>
  <c r="AX23" i="20"/>
  <c r="AW23" i="20"/>
  <c r="AV23" i="20"/>
  <c r="AU23" i="20"/>
  <c r="AT23" i="20"/>
  <c r="AS23" i="20"/>
  <c r="AR23" i="20"/>
  <c r="AQ23" i="20"/>
  <c r="AP23" i="20"/>
  <c r="AO23" i="20"/>
  <c r="AN23" i="20"/>
  <c r="AM23" i="20"/>
  <c r="AL23" i="20"/>
  <c r="AK23" i="20"/>
  <c r="AJ23" i="20"/>
  <c r="AI23" i="20"/>
  <c r="AH23" i="20"/>
  <c r="AG23" i="20"/>
  <c r="AF23" i="20"/>
  <c r="AE23" i="20"/>
  <c r="AD23" i="20"/>
  <c r="AC23" i="20"/>
  <c r="AB23" i="20"/>
  <c r="AA23" i="20"/>
  <c r="Z23" i="20"/>
  <c r="Y23" i="20"/>
  <c r="X23" i="20"/>
  <c r="W23" i="20"/>
  <c r="V23" i="20"/>
  <c r="U23" i="20"/>
  <c r="T23" i="20"/>
  <c r="S23" i="20"/>
  <c r="R23" i="20"/>
  <c r="Q23" i="20"/>
  <c r="P23" i="20"/>
  <c r="O23" i="20"/>
  <c r="N23" i="20"/>
  <c r="M23" i="20"/>
  <c r="L23" i="20"/>
  <c r="K23" i="20"/>
  <c r="J23" i="20"/>
  <c r="I23" i="20"/>
  <c r="H23" i="20"/>
  <c r="D17" i="18"/>
  <c r="S80" i="16"/>
  <c r="S81" i="16" s="1"/>
  <c r="G50" i="17"/>
  <c r="F50" i="17"/>
  <c r="D9" i="12"/>
  <c r="D10" i="18" l="1"/>
  <c r="G43" i="20"/>
  <c r="G44" i="20"/>
  <c r="G46" i="20" s="1"/>
  <c r="F43" i="20"/>
  <c r="F44" i="20" s="1"/>
  <c r="F46" i="20" s="1"/>
  <c r="E44" i="20"/>
  <c r="E46" i="20" s="1"/>
  <c r="S82" i="16"/>
  <c r="I27" i="17"/>
  <c r="J27" i="17"/>
  <c r="K27" i="17"/>
  <c r="L27" i="17"/>
  <c r="M27" i="17"/>
  <c r="N27" i="17"/>
  <c r="O27" i="17"/>
  <c r="P27" i="17"/>
  <c r="Q27" i="17"/>
  <c r="R27" i="17"/>
  <c r="S27" i="17"/>
  <c r="T27" i="17"/>
  <c r="U27" i="17"/>
  <c r="V27" i="17"/>
  <c r="W27" i="17"/>
  <c r="X27" i="17"/>
  <c r="Y27" i="17"/>
  <c r="Z27" i="17"/>
  <c r="AA27" i="17"/>
  <c r="AB27" i="17"/>
  <c r="AC27" i="17"/>
  <c r="AD27" i="17"/>
  <c r="AE27" i="17"/>
  <c r="AF27" i="17"/>
  <c r="AG27" i="17"/>
  <c r="AH27" i="17"/>
  <c r="AI27" i="17"/>
  <c r="AJ27" i="17"/>
  <c r="AK27" i="17"/>
  <c r="AL27" i="17"/>
  <c r="AM27" i="17"/>
  <c r="AN27" i="17"/>
  <c r="AO27" i="17"/>
  <c r="AP27" i="17"/>
  <c r="AQ27" i="17"/>
  <c r="AR27" i="17"/>
  <c r="AS27" i="17"/>
  <c r="AT27" i="17"/>
  <c r="AU27" i="17"/>
  <c r="AV27" i="17"/>
  <c r="AW27" i="17"/>
  <c r="AX27" i="17"/>
  <c r="AY27" i="17"/>
  <c r="AZ27" i="17"/>
  <c r="BA27" i="17"/>
  <c r="BB27" i="17"/>
  <c r="BC27" i="17"/>
  <c r="BD27" i="17"/>
  <c r="BE27" i="17"/>
  <c r="H27" i="17"/>
  <c r="I23" i="17"/>
  <c r="J23" i="17"/>
  <c r="K23" i="17"/>
  <c r="L23" i="17"/>
  <c r="M23" i="17"/>
  <c r="N23" i="17"/>
  <c r="O23" i="17"/>
  <c r="P23" i="17"/>
  <c r="Q23" i="17"/>
  <c r="R23" i="17"/>
  <c r="S23" i="17"/>
  <c r="T23" i="17"/>
  <c r="U23" i="17"/>
  <c r="V23" i="17"/>
  <c r="W23" i="17"/>
  <c r="X23" i="17"/>
  <c r="Y23" i="17"/>
  <c r="Z23" i="17"/>
  <c r="AA23" i="17"/>
  <c r="AB23" i="17"/>
  <c r="AC23" i="17"/>
  <c r="AD23" i="17"/>
  <c r="AE23" i="17"/>
  <c r="AF23" i="17"/>
  <c r="AG23" i="17"/>
  <c r="AH23" i="17"/>
  <c r="AI23" i="17"/>
  <c r="AJ23" i="17"/>
  <c r="AK23" i="17"/>
  <c r="AL23" i="17"/>
  <c r="AM23" i="17"/>
  <c r="AN23" i="17"/>
  <c r="AO23" i="17"/>
  <c r="AP23" i="17"/>
  <c r="AQ23" i="17"/>
  <c r="AR23" i="17"/>
  <c r="AS23" i="17"/>
  <c r="AT23" i="17"/>
  <c r="AU23" i="17"/>
  <c r="AV23" i="17"/>
  <c r="AW23" i="17"/>
  <c r="AX23" i="17"/>
  <c r="AY23" i="17"/>
  <c r="AZ23" i="17"/>
  <c r="BA23" i="17"/>
  <c r="BB23" i="17"/>
  <c r="BC23" i="17"/>
  <c r="BD23" i="17"/>
  <c r="BE23" i="17"/>
  <c r="H23" i="17"/>
  <c r="N25" i="17"/>
  <c r="O50" i="16"/>
  <c r="O51" i="16"/>
  <c r="U5" i="13"/>
  <c r="V5" i="13"/>
  <c r="W5" i="13"/>
  <c r="X5" i="13"/>
  <c r="Y5" i="13"/>
  <c r="Z5" i="13"/>
  <c r="AA5" i="13"/>
  <c r="AB5" i="13"/>
  <c r="T5" i="13"/>
  <c r="E80" i="16"/>
  <c r="E81" i="16" s="1"/>
  <c r="S83" i="16" l="1"/>
  <c r="AZ25" i="17"/>
  <c r="AR25" i="17"/>
  <c r="AJ25" i="17"/>
  <c r="AB25" i="17"/>
  <c r="T25" i="17"/>
  <c r="L25" i="17"/>
  <c r="AK25" i="17"/>
  <c r="AY25" i="17"/>
  <c r="AQ25" i="17"/>
  <c r="AI25" i="17"/>
  <c r="AA25" i="17"/>
  <c r="S25" i="17"/>
  <c r="K25" i="17"/>
  <c r="AC25" i="17"/>
  <c r="H25" i="17"/>
  <c r="AX25" i="17"/>
  <c r="AP25" i="17"/>
  <c r="AH25" i="17"/>
  <c r="Z25" i="17"/>
  <c r="R25" i="17"/>
  <c r="J25" i="17"/>
  <c r="BA25" i="17"/>
  <c r="AS25" i="17"/>
  <c r="U25" i="17"/>
  <c r="M25" i="17"/>
  <c r="BE25" i="17"/>
  <c r="AW25" i="17"/>
  <c r="AO25" i="17"/>
  <c r="AG25" i="17"/>
  <c r="Y25" i="17"/>
  <c r="Q25" i="17"/>
  <c r="I25" i="17"/>
  <c r="BD25" i="17"/>
  <c r="AV25" i="17"/>
  <c r="AN25" i="17"/>
  <c r="AF25" i="17"/>
  <c r="X25" i="17"/>
  <c r="P25" i="17"/>
  <c r="BC25" i="17"/>
  <c r="AU25" i="17"/>
  <c r="AM25" i="17"/>
  <c r="AE25" i="17"/>
  <c r="W25" i="17"/>
  <c r="O25" i="17"/>
  <c r="BB25" i="17"/>
  <c r="AT25" i="17"/>
  <c r="AL25" i="17"/>
  <c r="AD25" i="17"/>
  <c r="V25" i="17"/>
  <c r="E82" i="16"/>
  <c r="S84" i="16" l="1"/>
  <c r="E83" i="16"/>
  <c r="S85" i="16" l="1"/>
  <c r="E84" i="16"/>
  <c r="S86" i="16" l="1"/>
  <c r="E85" i="16"/>
  <c r="S87" i="16" l="1"/>
  <c r="E86" i="16"/>
  <c r="S88" i="16" l="1"/>
  <c r="E87" i="16"/>
  <c r="S89" i="16" l="1"/>
  <c r="E88" i="16"/>
  <c r="S90" i="16" l="1"/>
  <c r="E89" i="16"/>
  <c r="S91" i="16" l="1"/>
  <c r="E90" i="16"/>
  <c r="S92" i="16" l="1"/>
  <c r="E91" i="16"/>
  <c r="S93" i="16" l="1"/>
  <c r="E92" i="16"/>
  <c r="S94" i="16" l="1"/>
  <c r="E93" i="16"/>
  <c r="S95" i="16" l="1"/>
  <c r="E94" i="16"/>
  <c r="S96" i="16" l="1"/>
  <c r="E95" i="16"/>
  <c r="S97" i="16" l="1"/>
  <c r="E96" i="16"/>
  <c r="E97" i="16" l="1"/>
  <c r="H58" i="16" l="1"/>
  <c r="H57" i="16"/>
  <c r="H52" i="16"/>
  <c r="H49" i="16"/>
  <c r="D17" i="12"/>
  <c r="I35" i="17" l="1"/>
  <c r="I36" i="17" s="1"/>
  <c r="J35" i="17"/>
  <c r="J36" i="17" s="1"/>
  <c r="K35" i="17"/>
  <c r="K36" i="17" s="1"/>
  <c r="L35" i="17"/>
  <c r="L36" i="17" s="1"/>
  <c r="M35" i="17"/>
  <c r="M36" i="17" s="1"/>
  <c r="N35" i="17"/>
  <c r="N36" i="17" s="1"/>
  <c r="O35" i="17"/>
  <c r="O36" i="17" s="1"/>
  <c r="P35" i="17"/>
  <c r="P36" i="17" s="1"/>
  <c r="Q35" i="17"/>
  <c r="Q36" i="17" s="1"/>
  <c r="R35" i="17"/>
  <c r="R36" i="17" s="1"/>
  <c r="S35" i="17"/>
  <c r="S36" i="17" s="1"/>
  <c r="T35" i="17"/>
  <c r="T36" i="17" s="1"/>
  <c r="U35" i="17"/>
  <c r="U36" i="17" s="1"/>
  <c r="V35" i="17"/>
  <c r="V36" i="17" s="1"/>
  <c r="W35" i="17"/>
  <c r="W36" i="17" s="1"/>
  <c r="X35" i="17"/>
  <c r="X36" i="17" s="1"/>
  <c r="Y35" i="17"/>
  <c r="Y36" i="17" s="1"/>
  <c r="Z35" i="17"/>
  <c r="Z36" i="17" s="1"/>
  <c r="AA35" i="17"/>
  <c r="AA36" i="17" s="1"/>
  <c r="AB35" i="17"/>
  <c r="AB36" i="17" s="1"/>
  <c r="AC35" i="17"/>
  <c r="AC36" i="17" s="1"/>
  <c r="AD35" i="17"/>
  <c r="AD36" i="17" s="1"/>
  <c r="AE35" i="17"/>
  <c r="AE36" i="17" s="1"/>
  <c r="AF35" i="17"/>
  <c r="AF36" i="17" s="1"/>
  <c r="AG35" i="17"/>
  <c r="AG36" i="17" s="1"/>
  <c r="AH35" i="17"/>
  <c r="AH36" i="17" s="1"/>
  <c r="AI35" i="17"/>
  <c r="AI36" i="17" s="1"/>
  <c r="AJ35" i="17"/>
  <c r="AJ36" i="17" s="1"/>
  <c r="AK35" i="17"/>
  <c r="AK36" i="17" s="1"/>
  <c r="AL35" i="17"/>
  <c r="AL36" i="17" s="1"/>
  <c r="AM35" i="17"/>
  <c r="AM36" i="17" s="1"/>
  <c r="AN35" i="17"/>
  <c r="AN36" i="17" s="1"/>
  <c r="AO35" i="17"/>
  <c r="AO36" i="17" s="1"/>
  <c r="AP35" i="17"/>
  <c r="AP36" i="17" s="1"/>
  <c r="AQ35" i="17"/>
  <c r="AQ36" i="17" s="1"/>
  <c r="AR35" i="17"/>
  <c r="AR36" i="17" s="1"/>
  <c r="AS35" i="17"/>
  <c r="AS36" i="17" s="1"/>
  <c r="AT35" i="17"/>
  <c r="AT36" i="17" s="1"/>
  <c r="AU35" i="17"/>
  <c r="AU36" i="17" s="1"/>
  <c r="AV35" i="17"/>
  <c r="AV36" i="17" s="1"/>
  <c r="AW35" i="17"/>
  <c r="AW36" i="17" s="1"/>
  <c r="AX35" i="17"/>
  <c r="AX36" i="17" s="1"/>
  <c r="AY35" i="17"/>
  <c r="AY36" i="17" s="1"/>
  <c r="AZ35" i="17"/>
  <c r="AZ36" i="17" s="1"/>
  <c r="BA35" i="17"/>
  <c r="BA36" i="17" s="1"/>
  <c r="BB35" i="17"/>
  <c r="BB36" i="17" s="1"/>
  <c r="BC35" i="17"/>
  <c r="BC36" i="17" s="1"/>
  <c r="BD35" i="17"/>
  <c r="BD36" i="17" s="1"/>
  <c r="BE35" i="17"/>
  <c r="BE36" i="17" s="1"/>
  <c r="H35" i="17"/>
  <c r="H36" i="17" s="1"/>
  <c r="H52" i="17"/>
  <c r="I52" i="17"/>
  <c r="J52" i="17"/>
  <c r="K52" i="17"/>
  <c r="L52" i="17"/>
  <c r="M52" i="17"/>
  <c r="N52" i="17"/>
  <c r="O52" i="17"/>
  <c r="P52" i="17"/>
  <c r="Q52" i="17"/>
  <c r="R52" i="17"/>
  <c r="S52" i="17"/>
  <c r="T52" i="17"/>
  <c r="U52" i="17"/>
  <c r="V52" i="17"/>
  <c r="W52" i="17"/>
  <c r="X52" i="17"/>
  <c r="Y52" i="17"/>
  <c r="Z52" i="17"/>
  <c r="AA52" i="17"/>
  <c r="AB52" i="17"/>
  <c r="AC52" i="17"/>
  <c r="AD52" i="17"/>
  <c r="AE52" i="17"/>
  <c r="AF52" i="17"/>
  <c r="AG52" i="17"/>
  <c r="AH52" i="17"/>
  <c r="AI52" i="17"/>
  <c r="AJ52" i="17"/>
  <c r="AK52" i="17"/>
  <c r="AL52" i="17"/>
  <c r="AM52" i="17"/>
  <c r="AN52" i="17"/>
  <c r="AO52" i="17"/>
  <c r="AP52" i="17"/>
  <c r="AQ52" i="17"/>
  <c r="AR52" i="17"/>
  <c r="AS52" i="17"/>
  <c r="AT52" i="17"/>
  <c r="AU52" i="17"/>
  <c r="AV52" i="17"/>
  <c r="AW52" i="17"/>
  <c r="AX52" i="17"/>
  <c r="AY52" i="17"/>
  <c r="AZ52" i="17"/>
  <c r="BA52" i="17"/>
  <c r="BB52" i="17"/>
  <c r="BC52" i="17"/>
  <c r="BD52" i="17"/>
  <c r="BE52" i="17"/>
  <c r="E50" i="17"/>
  <c r="G38" i="17" l="1"/>
  <c r="G42" i="17" s="1"/>
  <c r="G43" i="17" s="1"/>
  <c r="F38" i="17"/>
  <c r="F42" i="17" s="1"/>
  <c r="F43" i="17" s="1"/>
  <c r="E38" i="17"/>
  <c r="E42" i="17" s="1"/>
  <c r="E43" i="17" s="1"/>
  <c r="C25" i="15"/>
  <c r="E44" i="17" l="1"/>
  <c r="E46" i="17" s="1"/>
  <c r="G44" i="17" l="1"/>
  <c r="G46" i="17" s="1"/>
  <c r="F44" i="17"/>
  <c r="F46" i="17" s="1"/>
  <c r="C53" i="13" l="1"/>
  <c r="C37" i="13"/>
  <c r="C39" i="13"/>
  <c r="C44" i="13"/>
  <c r="C65" i="13" s="1"/>
  <c r="C66" i="13" s="1"/>
  <c r="C60" i="13"/>
  <c r="C58" i="13"/>
  <c r="C57" i="13"/>
  <c r="C52" i="13"/>
  <c r="C64" i="13"/>
  <c r="C43" i="13"/>
  <c r="C24" i="13"/>
  <c r="C22" i="13"/>
  <c r="C45" i="13" l="1"/>
  <c r="C40" i="13" s="1"/>
  <c r="C61" i="13"/>
  <c r="C55" i="13" s="1"/>
  <c r="C19" i="13"/>
  <c r="C13" i="13" s="1"/>
  <c r="C7" i="13" l="1"/>
  <c r="C33" i="13" s="1"/>
  <c r="G63" i="16"/>
  <c r="U63" i="16" s="1"/>
  <c r="D6" i="18"/>
  <c r="D6" i="12"/>
  <c r="C31" i="13"/>
  <c r="W16" i="13" s="1"/>
  <c r="C51" i="13"/>
  <c r="X16" i="13" l="1"/>
  <c r="V16" i="13"/>
  <c r="AA16" i="13"/>
  <c r="Y16" i="13"/>
  <c r="Z16" i="13"/>
  <c r="T16" i="13"/>
  <c r="AB16" i="13"/>
  <c r="U16" i="13"/>
  <c r="C36" i="13"/>
  <c r="C34" i="13" s="1"/>
  <c r="C28" i="13" s="1"/>
  <c r="C12" i="15" s="1"/>
  <c r="D9" i="15"/>
  <c r="D8" i="18"/>
  <c r="D8" i="12"/>
  <c r="G64" i="16"/>
  <c r="U64" i="16" s="1"/>
  <c r="V63" i="16" s="1" a="1"/>
  <c r="V63" i="16" s="1"/>
  <c r="V64" i="16" s="1" a="1"/>
  <c r="V64" i="16" s="1"/>
  <c r="C7" i="15"/>
  <c r="H63" i="16" l="1" a="1"/>
  <c r="H63" i="16" s="1"/>
  <c r="H64" i="16" s="1" a="1"/>
  <c r="H64" i="16" s="1"/>
  <c r="F93" i="16" s="1"/>
  <c r="C54" i="13"/>
  <c r="C49" i="13" s="1"/>
  <c r="C16" i="15" s="1"/>
  <c r="T79" i="16"/>
  <c r="U79" i="16" s="1"/>
  <c r="T84" i="16"/>
  <c r="T96" i="16"/>
  <c r="T95" i="16"/>
  <c r="T91" i="16"/>
  <c r="T92" i="16"/>
  <c r="T89" i="16"/>
  <c r="T94" i="16"/>
  <c r="T88" i="16"/>
  <c r="T83" i="16"/>
  <c r="T80" i="16"/>
  <c r="T93" i="16"/>
  <c r="T86" i="16"/>
  <c r="T87" i="16"/>
  <c r="T97" i="16"/>
  <c r="T85" i="16"/>
  <c r="T82" i="16"/>
  <c r="T81" i="16"/>
  <c r="T90" i="16"/>
  <c r="C24" i="15"/>
  <c r="H12" i="17"/>
  <c r="H12" i="20"/>
  <c r="S6" i="13"/>
  <c r="F92" i="16" l="1"/>
  <c r="F84" i="16"/>
  <c r="F83" i="16"/>
  <c r="F80" i="16"/>
  <c r="F81" i="16"/>
  <c r="F85" i="16"/>
  <c r="F94" i="16"/>
  <c r="F82" i="16"/>
  <c r="F95" i="16"/>
  <c r="F86" i="16"/>
  <c r="F96" i="16"/>
  <c r="F91" i="16"/>
  <c r="F79" i="16"/>
  <c r="G79" i="16" s="1"/>
  <c r="F89" i="16"/>
  <c r="F88" i="16"/>
  <c r="F87" i="16"/>
  <c r="F90" i="16"/>
  <c r="F97" i="16"/>
  <c r="H8" i="20"/>
  <c r="I8" i="20" s="1"/>
  <c r="J8" i="20" s="1"/>
  <c r="K8" i="20" s="1"/>
  <c r="L8" i="20" s="1"/>
  <c r="M8" i="20" s="1"/>
  <c r="N8" i="20" s="1"/>
  <c r="O8" i="20" s="1"/>
  <c r="P8" i="20" s="1"/>
  <c r="Q8" i="20" s="1"/>
  <c r="R8" i="20" s="1"/>
  <c r="S8" i="20" s="1"/>
  <c r="T8" i="20" s="1"/>
  <c r="U8" i="20" s="1"/>
  <c r="V8" i="20" s="1"/>
  <c r="W8" i="20" s="1"/>
  <c r="X8" i="20" s="1"/>
  <c r="Y8" i="20" s="1"/>
  <c r="Z8" i="20" s="1"/>
  <c r="AA8" i="20" s="1"/>
  <c r="AB8" i="20" s="1"/>
  <c r="AC8" i="20" s="1"/>
  <c r="AD8" i="20" s="1"/>
  <c r="AE8" i="20" s="1"/>
  <c r="AF8" i="20" s="1"/>
  <c r="AG8" i="20" s="1"/>
  <c r="AH8" i="20" s="1"/>
  <c r="AI8" i="20" s="1"/>
  <c r="AJ8" i="20" s="1"/>
  <c r="AK8" i="20" s="1"/>
  <c r="AL8" i="20" s="1"/>
  <c r="AM8" i="20" s="1"/>
  <c r="AN8" i="20" s="1"/>
  <c r="AO8" i="20" s="1"/>
  <c r="AP8" i="20" s="1"/>
  <c r="AQ8" i="20" s="1"/>
  <c r="AR8" i="20" s="1"/>
  <c r="AS8" i="20" s="1"/>
  <c r="AT8" i="20" s="1"/>
  <c r="AU8" i="20" s="1"/>
  <c r="AV8" i="20" s="1"/>
  <c r="AW8" i="20" s="1"/>
  <c r="AX8" i="20" s="1"/>
  <c r="AY8" i="20" s="1"/>
  <c r="AZ8" i="20" s="1"/>
  <c r="BA8" i="20" s="1"/>
  <c r="BB8" i="20" s="1"/>
  <c r="BC8" i="20" s="1"/>
  <c r="BD8" i="20" s="1"/>
  <c r="BE8" i="20" s="1"/>
  <c r="D7" i="18"/>
  <c r="H8" i="17"/>
  <c r="I8" i="17" s="1"/>
  <c r="J8" i="17" s="1"/>
  <c r="K8" i="17" s="1"/>
  <c r="L8" i="17" s="1"/>
  <c r="M8" i="17" s="1"/>
  <c r="N8" i="17" s="1"/>
  <c r="O8" i="17" s="1"/>
  <c r="P8" i="17" s="1"/>
  <c r="Q8" i="17" s="1"/>
  <c r="R8" i="17" s="1"/>
  <c r="S8" i="17" s="1"/>
  <c r="T8" i="17" s="1"/>
  <c r="U8" i="17" s="1"/>
  <c r="V8" i="17" s="1"/>
  <c r="W8" i="17" s="1"/>
  <c r="X8" i="17" s="1"/>
  <c r="Y8" i="17" s="1"/>
  <c r="Z8" i="17" s="1"/>
  <c r="AA8" i="17" s="1"/>
  <c r="AB8" i="17" s="1"/>
  <c r="AC8" i="17" s="1"/>
  <c r="AD8" i="17" s="1"/>
  <c r="AE8" i="17" s="1"/>
  <c r="AF8" i="17" s="1"/>
  <c r="AG8" i="17" s="1"/>
  <c r="AH8" i="17" s="1"/>
  <c r="AI8" i="17" s="1"/>
  <c r="AJ8" i="17" s="1"/>
  <c r="AK8" i="17" s="1"/>
  <c r="AL8" i="17" s="1"/>
  <c r="AM8" i="17" s="1"/>
  <c r="AN8" i="17" s="1"/>
  <c r="AO8" i="17" s="1"/>
  <c r="AP8" i="17" s="1"/>
  <c r="AQ8" i="17" s="1"/>
  <c r="AR8" i="17" s="1"/>
  <c r="AS8" i="17" s="1"/>
  <c r="AT8" i="17" s="1"/>
  <c r="AU8" i="17" s="1"/>
  <c r="AV8" i="17" s="1"/>
  <c r="AW8" i="17" s="1"/>
  <c r="AX8" i="17" s="1"/>
  <c r="AY8" i="17" s="1"/>
  <c r="AZ8" i="17" s="1"/>
  <c r="BA8" i="17" s="1"/>
  <c r="BB8" i="17" s="1"/>
  <c r="BC8" i="17" s="1"/>
  <c r="BD8" i="17" s="1"/>
  <c r="BE8" i="17" s="1"/>
  <c r="D7" i="12"/>
  <c r="C13" i="15"/>
  <c r="D5" i="18" s="1"/>
  <c r="D12" i="12"/>
  <c r="H18" i="17"/>
  <c r="I12" i="17"/>
  <c r="I16" i="17" s="1"/>
  <c r="H16" i="17"/>
  <c r="H18" i="20"/>
  <c r="I12" i="20"/>
  <c r="I16" i="20" s="1"/>
  <c r="H16" i="20"/>
  <c r="H9" i="17"/>
  <c r="H9" i="20"/>
  <c r="U80" i="16"/>
  <c r="G80" i="16" l="1"/>
  <c r="C21" i="16"/>
  <c r="D11" i="12"/>
  <c r="D11" i="18"/>
  <c r="D5" i="12"/>
  <c r="D12" i="18"/>
  <c r="H26" i="17"/>
  <c r="H28" i="17"/>
  <c r="I28" i="17"/>
  <c r="I26" i="17"/>
  <c r="H28" i="20"/>
  <c r="H26" i="20"/>
  <c r="I26" i="20"/>
  <c r="I28" i="20"/>
  <c r="J12" i="20"/>
  <c r="I18" i="20"/>
  <c r="I18" i="17"/>
  <c r="J12" i="17"/>
  <c r="U81" i="16"/>
  <c r="U82" i="16" s="1"/>
  <c r="U83" i="16" s="1"/>
  <c r="U84" i="16" s="1"/>
  <c r="U85" i="16" s="1"/>
  <c r="U86" i="16" s="1"/>
  <c r="U87" i="16" s="1"/>
  <c r="U88" i="16" s="1"/>
  <c r="U89" i="16" s="1"/>
  <c r="U90" i="16" s="1"/>
  <c r="U91" i="16" s="1"/>
  <c r="U92" i="16" s="1"/>
  <c r="U93" i="16" s="1"/>
  <c r="U94" i="16" s="1"/>
  <c r="U95" i="16" s="1"/>
  <c r="U96" i="16" s="1"/>
  <c r="U97" i="16" s="1"/>
  <c r="C19" i="16" a="1"/>
  <c r="C19" i="16" s="1"/>
  <c r="G81" i="16"/>
  <c r="G82" i="16" s="1"/>
  <c r="I9" i="20"/>
  <c r="J9" i="20" s="1"/>
  <c r="K9" i="20" s="1"/>
  <c r="H10" i="20"/>
  <c r="I9" i="17"/>
  <c r="I10" i="17" s="1"/>
  <c r="I15" i="17" s="1"/>
  <c r="I24" i="17" s="1"/>
  <c r="H10" i="17"/>
  <c r="G83" i="16" l="1"/>
  <c r="G84" i="16" s="1"/>
  <c r="G85" i="16" s="1"/>
  <c r="G86" i="16" s="1"/>
  <c r="G87" i="16" s="1"/>
  <c r="G88" i="16" s="1"/>
  <c r="G89" i="16" s="1"/>
  <c r="G90" i="16" s="1"/>
  <c r="G91" i="16" s="1"/>
  <c r="G92" i="16" s="1"/>
  <c r="G93" i="16" s="1"/>
  <c r="G94" i="16" s="1"/>
  <c r="G95" i="16" s="1"/>
  <c r="G96" i="16" s="1"/>
  <c r="G97" i="16" s="1"/>
  <c r="C17" i="16" a="1"/>
  <c r="C17" i="16" s="1"/>
  <c r="AC31" i="17" s="1"/>
  <c r="AC32" i="17" s="1"/>
  <c r="I29" i="17"/>
  <c r="AQ33" i="20"/>
  <c r="AQ34" i="20" s="1"/>
  <c r="V33" i="20"/>
  <c r="V34" i="20" s="1"/>
  <c r="AB33" i="20"/>
  <c r="AB34" i="20" s="1"/>
  <c r="Z33" i="17"/>
  <c r="Z34" i="17" s="1"/>
  <c r="AM33" i="20"/>
  <c r="AM34" i="20" s="1"/>
  <c r="J33" i="20"/>
  <c r="J34" i="20" s="1"/>
  <c r="AC33" i="17"/>
  <c r="AC34" i="17" s="1"/>
  <c r="BE33" i="20"/>
  <c r="BE34" i="20" s="1"/>
  <c r="F49" i="17"/>
  <c r="AA33" i="17"/>
  <c r="AA34" i="17" s="1"/>
  <c r="D16" i="18"/>
  <c r="V33" i="17"/>
  <c r="V34" i="17" s="1"/>
  <c r="BD33" i="20"/>
  <c r="BD34" i="20" s="1"/>
  <c r="M33" i="17"/>
  <c r="M34" i="17" s="1"/>
  <c r="AK33" i="20"/>
  <c r="AK34" i="20" s="1"/>
  <c r="Q33" i="17"/>
  <c r="Q34" i="17" s="1"/>
  <c r="AA33" i="20"/>
  <c r="AA34" i="20" s="1"/>
  <c r="BA33" i="20"/>
  <c r="BA34" i="20" s="1"/>
  <c r="R33" i="17"/>
  <c r="R34" i="17" s="1"/>
  <c r="AL33" i="20"/>
  <c r="AL34" i="20" s="1"/>
  <c r="U33" i="17"/>
  <c r="U34" i="17" s="1"/>
  <c r="K33" i="17"/>
  <c r="K34" i="17" s="1"/>
  <c r="AG33" i="20"/>
  <c r="AG34" i="20" s="1"/>
  <c r="Q33" i="20"/>
  <c r="Q34" i="20" s="1"/>
  <c r="N33" i="17"/>
  <c r="N34" i="17" s="1"/>
  <c r="AV33" i="20"/>
  <c r="AV34" i="20" s="1"/>
  <c r="AN33" i="17"/>
  <c r="AN34" i="17" s="1"/>
  <c r="H33" i="17"/>
  <c r="H34" i="17" s="1"/>
  <c r="L33" i="17"/>
  <c r="L34" i="17" s="1"/>
  <c r="AU33" i="17"/>
  <c r="AU34" i="17" s="1"/>
  <c r="AY33" i="20"/>
  <c r="AY34" i="20" s="1"/>
  <c r="AS33" i="20"/>
  <c r="AS34" i="20" s="1"/>
  <c r="S33" i="20"/>
  <c r="S34" i="20" s="1"/>
  <c r="AY33" i="17"/>
  <c r="AY34" i="17" s="1"/>
  <c r="BB33" i="20"/>
  <c r="BB34" i="20" s="1"/>
  <c r="P33" i="17"/>
  <c r="P34" i="17" s="1"/>
  <c r="AW33" i="20"/>
  <c r="AW34" i="20" s="1"/>
  <c r="AW33" i="17"/>
  <c r="AW34" i="17" s="1"/>
  <c r="AF33" i="20"/>
  <c r="AF34" i="20" s="1"/>
  <c r="P33" i="20"/>
  <c r="P34" i="20" s="1"/>
  <c r="AI33" i="20"/>
  <c r="AI34" i="20" s="1"/>
  <c r="BC33" i="17"/>
  <c r="BC34" i="17" s="1"/>
  <c r="AG33" i="17"/>
  <c r="AG34" i="17" s="1"/>
  <c r="AD33" i="17"/>
  <c r="AD34" i="17" s="1"/>
  <c r="AS33" i="17"/>
  <c r="AS34" i="17" s="1"/>
  <c r="AI33" i="17"/>
  <c r="AI34" i="17" s="1"/>
  <c r="BC33" i="20"/>
  <c r="BC34" i="20" s="1"/>
  <c r="AR33" i="17"/>
  <c r="AR34" i="17" s="1"/>
  <c r="AD33" i="20"/>
  <c r="AD34" i="20" s="1"/>
  <c r="I33" i="20"/>
  <c r="I34" i="20" s="1"/>
  <c r="BA33" i="17"/>
  <c r="BA34" i="17" s="1"/>
  <c r="AF33" i="17"/>
  <c r="AF34" i="17" s="1"/>
  <c r="K33" i="20"/>
  <c r="K34" i="20" s="1"/>
  <c r="I33" i="17"/>
  <c r="I34" i="17" s="1"/>
  <c r="AP33" i="20"/>
  <c r="AP34" i="20" s="1"/>
  <c r="T33" i="17"/>
  <c r="T34" i="17" s="1"/>
  <c r="AZ33" i="20"/>
  <c r="AZ34" i="20" s="1"/>
  <c r="AX33" i="20"/>
  <c r="AX34" i="20" s="1"/>
  <c r="N33" i="20"/>
  <c r="N34" i="20" s="1"/>
  <c r="AR33" i="20"/>
  <c r="AR34" i="20" s="1"/>
  <c r="T33" i="20"/>
  <c r="T34" i="20" s="1"/>
  <c r="AT33" i="17"/>
  <c r="AT34" i="17" s="1"/>
  <c r="AT33" i="20"/>
  <c r="AT34" i="20" s="1"/>
  <c r="U33" i="20"/>
  <c r="U34" i="20" s="1"/>
  <c r="AB33" i="17"/>
  <c r="AB34" i="17" s="1"/>
  <c r="H33" i="20"/>
  <c r="H34" i="20" s="1"/>
  <c r="AE33" i="17"/>
  <c r="AE34" i="17" s="1"/>
  <c r="AJ33" i="20"/>
  <c r="AJ34" i="20" s="1"/>
  <c r="E49" i="20"/>
  <c r="AQ33" i="17"/>
  <c r="AQ34" i="17" s="1"/>
  <c r="M33" i="20"/>
  <c r="M34" i="20" s="1"/>
  <c r="AH33" i="20"/>
  <c r="AH34" i="20" s="1"/>
  <c r="Y33" i="17"/>
  <c r="Y34" i="17" s="1"/>
  <c r="BB33" i="17"/>
  <c r="BB34" i="17" s="1"/>
  <c r="E49" i="17"/>
  <c r="S33" i="17"/>
  <c r="S34" i="17" s="1"/>
  <c r="BE33" i="17"/>
  <c r="BE34" i="17" s="1"/>
  <c r="W33" i="17"/>
  <c r="W34" i="17" s="1"/>
  <c r="J33" i="17"/>
  <c r="J34" i="17" s="1"/>
  <c r="AC33" i="20"/>
  <c r="AC34" i="20" s="1"/>
  <c r="X33" i="20"/>
  <c r="X34" i="20" s="1"/>
  <c r="AX33" i="17"/>
  <c r="AX34" i="17" s="1"/>
  <c r="AV33" i="17"/>
  <c r="AV34" i="17" s="1"/>
  <c r="Y33" i="20"/>
  <c r="Y34" i="20" s="1"/>
  <c r="AE33" i="20"/>
  <c r="AE34" i="20" s="1"/>
  <c r="AJ33" i="17"/>
  <c r="AJ34" i="17" s="1"/>
  <c r="X33" i="17"/>
  <c r="X34" i="17" s="1"/>
  <c r="AN33" i="20"/>
  <c r="AN34" i="20" s="1"/>
  <c r="AZ33" i="17"/>
  <c r="AZ34" i="17" s="1"/>
  <c r="F49" i="20"/>
  <c r="G49" i="20"/>
  <c r="BD33" i="17"/>
  <c r="BD34" i="17" s="1"/>
  <c r="AL33" i="17"/>
  <c r="AL34" i="17" s="1"/>
  <c r="O33" i="20"/>
  <c r="O34" i="20" s="1"/>
  <c r="Z33" i="20"/>
  <c r="Z34" i="20" s="1"/>
  <c r="W33" i="20"/>
  <c r="W34" i="20" s="1"/>
  <c r="AK33" i="17"/>
  <c r="AK34" i="17" s="1"/>
  <c r="O33" i="17"/>
  <c r="O34" i="17" s="1"/>
  <c r="L33" i="20"/>
  <c r="L34" i="20" s="1"/>
  <c r="AP33" i="17"/>
  <c r="AP34" i="17" s="1"/>
  <c r="AO33" i="20"/>
  <c r="AO34" i="20" s="1"/>
  <c r="R33" i="20"/>
  <c r="R34" i="20" s="1"/>
  <c r="G49" i="17"/>
  <c r="D16" i="12"/>
  <c r="AU33" i="20"/>
  <c r="AU34" i="20" s="1"/>
  <c r="AH33" i="17"/>
  <c r="AH34" i="17" s="1"/>
  <c r="AO33" i="17"/>
  <c r="AO34" i="17" s="1"/>
  <c r="AM33" i="17"/>
  <c r="AM34" i="17" s="1"/>
  <c r="H15" i="17"/>
  <c r="K10" i="20"/>
  <c r="K15" i="20" s="1"/>
  <c r="K24" i="20" s="1"/>
  <c r="L9" i="20"/>
  <c r="H15" i="20"/>
  <c r="J9" i="17"/>
  <c r="AA31" i="20"/>
  <c r="AA32" i="20" s="1"/>
  <c r="E48" i="20"/>
  <c r="BA31" i="20"/>
  <c r="BA32" i="20" s="1"/>
  <c r="AW31" i="20"/>
  <c r="AW32" i="20" s="1"/>
  <c r="AJ31" i="20"/>
  <c r="AJ32" i="20" s="1"/>
  <c r="AZ31" i="20"/>
  <c r="AZ32" i="20" s="1"/>
  <c r="AD31" i="20"/>
  <c r="AD32" i="20" s="1"/>
  <c r="BB31" i="20"/>
  <c r="BB32" i="20" s="1"/>
  <c r="AQ31" i="20"/>
  <c r="AQ32" i="20" s="1"/>
  <c r="H31" i="20"/>
  <c r="H32" i="20" s="1"/>
  <c r="Q31" i="20"/>
  <c r="Q32" i="20" s="1"/>
  <c r="AX31" i="20"/>
  <c r="AX32" i="20" s="1"/>
  <c r="AF31" i="20"/>
  <c r="AF32" i="20" s="1"/>
  <c r="AE31" i="20"/>
  <c r="AE32" i="20" s="1"/>
  <c r="O31" i="20"/>
  <c r="O32" i="20" s="1"/>
  <c r="AH31" i="20"/>
  <c r="AH32" i="20" s="1"/>
  <c r="Z31" i="20"/>
  <c r="Z32" i="20" s="1"/>
  <c r="AK31" i="20"/>
  <c r="AK32" i="20" s="1"/>
  <c r="BC31" i="20"/>
  <c r="BC32" i="20" s="1"/>
  <c r="M31" i="20"/>
  <c r="M32" i="20" s="1"/>
  <c r="AG31" i="20"/>
  <c r="AG32" i="20" s="1"/>
  <c r="BE31" i="20"/>
  <c r="BE32" i="20" s="1"/>
  <c r="I31" i="20"/>
  <c r="I32" i="20" s="1"/>
  <c r="AC31" i="20"/>
  <c r="AC32" i="20" s="1"/>
  <c r="D15" i="18"/>
  <c r="AL31" i="20"/>
  <c r="AL32" i="20" s="1"/>
  <c r="AP31" i="20"/>
  <c r="AP32" i="20" s="1"/>
  <c r="G48" i="20"/>
  <c r="Y31" i="20"/>
  <c r="Y32" i="20" s="1"/>
  <c r="X31" i="20"/>
  <c r="X32" i="20" s="1"/>
  <c r="AB31" i="20"/>
  <c r="AB32" i="20" s="1"/>
  <c r="AT31" i="20"/>
  <c r="AT32" i="20" s="1"/>
  <c r="J31" i="20"/>
  <c r="J32" i="20" s="1"/>
  <c r="U31" i="20"/>
  <c r="U32" i="20" s="1"/>
  <c r="L31" i="20"/>
  <c r="L32" i="20" s="1"/>
  <c r="R31" i="20"/>
  <c r="R32" i="20" s="1"/>
  <c r="F48" i="20"/>
  <c r="T31" i="20"/>
  <c r="T32" i="20" s="1"/>
  <c r="P31" i="20"/>
  <c r="P32" i="20" s="1"/>
  <c r="K31" i="20"/>
  <c r="K32" i="20" s="1"/>
  <c r="AR31" i="20"/>
  <c r="AR32" i="20" s="1"/>
  <c r="AO31" i="20"/>
  <c r="AO32" i="20" s="1"/>
  <c r="BD31" i="20"/>
  <c r="BD32" i="20" s="1"/>
  <c r="V31" i="20"/>
  <c r="V32" i="20" s="1"/>
  <c r="AY31" i="20"/>
  <c r="AY32" i="20" s="1"/>
  <c r="W31" i="20"/>
  <c r="W32" i="20" s="1"/>
  <c r="AS31" i="20"/>
  <c r="AS32" i="20" s="1"/>
  <c r="AN31" i="20"/>
  <c r="AN32" i="20" s="1"/>
  <c r="AM31" i="20"/>
  <c r="AM32" i="20" s="1"/>
  <c r="AU31" i="20"/>
  <c r="AU32" i="20" s="1"/>
  <c r="AI31" i="20"/>
  <c r="AI32" i="20" s="1"/>
  <c r="AV31" i="20"/>
  <c r="AV32" i="20" s="1"/>
  <c r="S31" i="20"/>
  <c r="S32" i="20" s="1"/>
  <c r="N31" i="20"/>
  <c r="N32" i="20" s="1"/>
  <c r="J10" i="20"/>
  <c r="J15" i="20" s="1"/>
  <c r="J24" i="20" s="1"/>
  <c r="J18" i="17"/>
  <c r="K12" i="17"/>
  <c r="J16" i="17"/>
  <c r="I10" i="20"/>
  <c r="I15" i="20" s="1"/>
  <c r="I24" i="20" s="1"/>
  <c r="I29" i="20" s="1"/>
  <c r="I17" i="17"/>
  <c r="I19" i="17" s="1"/>
  <c r="J18" i="20"/>
  <c r="K12" i="20"/>
  <c r="J16" i="20"/>
  <c r="BE31" i="17" l="1"/>
  <c r="BE32" i="17" s="1"/>
  <c r="O31" i="17"/>
  <c r="O32" i="17" s="1"/>
  <c r="X31" i="17"/>
  <c r="X32" i="17" s="1"/>
  <c r="Z31" i="17"/>
  <c r="Z32" i="17" s="1"/>
  <c r="N31" i="17"/>
  <c r="N32" i="17" s="1"/>
  <c r="AN31" i="17"/>
  <c r="AN32" i="17" s="1"/>
  <c r="BA31" i="17"/>
  <c r="BA32" i="17" s="1"/>
  <c r="H31" i="17"/>
  <c r="H32" i="17" s="1"/>
  <c r="AD31" i="17"/>
  <c r="AD32" i="17" s="1"/>
  <c r="BD31" i="17"/>
  <c r="BD32" i="17" s="1"/>
  <c r="AO31" i="17"/>
  <c r="AO32" i="17" s="1"/>
  <c r="AK31" i="17"/>
  <c r="AK32" i="17" s="1"/>
  <c r="K31" i="17"/>
  <c r="K32" i="17" s="1"/>
  <c r="BC31" i="17"/>
  <c r="BC32" i="17" s="1"/>
  <c r="AS31" i="17"/>
  <c r="AS32" i="17" s="1"/>
  <c r="BB31" i="17"/>
  <c r="BB32" i="17" s="1"/>
  <c r="AG31" i="17"/>
  <c r="AG32" i="17" s="1"/>
  <c r="AF31" i="17"/>
  <c r="AF32" i="17" s="1"/>
  <c r="P31" i="17"/>
  <c r="P32" i="17" s="1"/>
  <c r="Q31" i="17"/>
  <c r="Q32" i="17" s="1"/>
  <c r="W31" i="17"/>
  <c r="W32" i="17" s="1"/>
  <c r="AB31" i="17"/>
  <c r="AB32" i="17" s="1"/>
  <c r="F48" i="17"/>
  <c r="S31" i="17"/>
  <c r="S32" i="17" s="1"/>
  <c r="AI31" i="17"/>
  <c r="AI32" i="17" s="1"/>
  <c r="G48" i="17"/>
  <c r="U31" i="17"/>
  <c r="U32" i="17" s="1"/>
  <c r="AJ31" i="17"/>
  <c r="AJ32" i="17" s="1"/>
  <c r="AP31" i="17"/>
  <c r="AP32" i="17" s="1"/>
  <c r="AR31" i="17"/>
  <c r="AR32" i="17" s="1"/>
  <c r="R31" i="17"/>
  <c r="R32" i="17" s="1"/>
  <c r="AM31" i="17"/>
  <c r="AM32" i="17" s="1"/>
  <c r="AT31" i="17"/>
  <c r="AT32" i="17" s="1"/>
  <c r="AW31" i="17"/>
  <c r="AW32" i="17" s="1"/>
  <c r="AX31" i="17"/>
  <c r="AX32" i="17" s="1"/>
  <c r="AA31" i="17"/>
  <c r="AA32" i="17" s="1"/>
  <c r="Y31" i="17"/>
  <c r="Y32" i="17" s="1"/>
  <c r="AL31" i="17"/>
  <c r="AL32" i="17" s="1"/>
  <c r="L31" i="17"/>
  <c r="L32" i="17" s="1"/>
  <c r="AV31" i="17"/>
  <c r="AV32" i="17" s="1"/>
  <c r="I31" i="17"/>
  <c r="I32" i="17" s="1"/>
  <c r="V31" i="17"/>
  <c r="V32" i="17" s="1"/>
  <c r="D15" i="12"/>
  <c r="AE31" i="17"/>
  <c r="AE32" i="17" s="1"/>
  <c r="AQ31" i="17"/>
  <c r="AQ32" i="17" s="1"/>
  <c r="E48" i="17"/>
  <c r="E52" i="17" s="1"/>
  <c r="E54" i="17" s="1"/>
  <c r="E56" i="17" s="1"/>
  <c r="E57" i="17" s="1"/>
  <c r="M31" i="17"/>
  <c r="M32" i="17" s="1"/>
  <c r="AU31" i="17"/>
  <c r="AU32" i="17" s="1"/>
  <c r="AZ31" i="17"/>
  <c r="AZ32" i="17" s="1"/>
  <c r="J31" i="17"/>
  <c r="J32" i="17" s="1"/>
  <c r="T31" i="17"/>
  <c r="T32" i="17" s="1"/>
  <c r="AH31" i="17"/>
  <c r="AH32" i="17" s="1"/>
  <c r="C16" i="16"/>
  <c r="AM40" i="17" s="1"/>
  <c r="AY31" i="17"/>
  <c r="AY32" i="17" s="1"/>
  <c r="F52" i="17"/>
  <c r="F54" i="17" s="1"/>
  <c r="F55" i="17" s="1"/>
  <c r="G52" i="20"/>
  <c r="G54" i="20" s="1"/>
  <c r="G55" i="20" s="1"/>
  <c r="F52" i="20"/>
  <c r="F54" i="20" s="1"/>
  <c r="F55" i="20" s="1"/>
  <c r="E52" i="20"/>
  <c r="E54" i="20" s="1"/>
  <c r="E55" i="20" s="1"/>
  <c r="I38" i="20"/>
  <c r="G52" i="17"/>
  <c r="G54" i="17" s="1"/>
  <c r="G55" i="17" s="1"/>
  <c r="AZ40" i="20"/>
  <c r="H24" i="20"/>
  <c r="H29" i="20" s="1"/>
  <c r="H38" i="20" s="1"/>
  <c r="H17" i="20"/>
  <c r="J17" i="20"/>
  <c r="J19" i="20" s="1"/>
  <c r="I38" i="17"/>
  <c r="I20" i="17"/>
  <c r="L10" i="20"/>
  <c r="L15" i="20" s="1"/>
  <c r="L24" i="20" s="1"/>
  <c r="M9" i="20"/>
  <c r="J28" i="20"/>
  <c r="J26" i="20"/>
  <c r="J26" i="17"/>
  <c r="J28" i="17"/>
  <c r="D18" i="18"/>
  <c r="K17" i="20"/>
  <c r="K18" i="17"/>
  <c r="L12" i="17"/>
  <c r="K16" i="17"/>
  <c r="I17" i="20"/>
  <c r="H24" i="17"/>
  <c r="H29" i="17" s="1"/>
  <c r="H17" i="17"/>
  <c r="K18" i="20"/>
  <c r="L12" i="20"/>
  <c r="K16" i="20"/>
  <c r="D18" i="12"/>
  <c r="J10" i="17"/>
  <c r="J15" i="17" s="1"/>
  <c r="J24" i="17" s="1"/>
  <c r="K9" i="17"/>
  <c r="AU40" i="20" l="1"/>
  <c r="Z40" i="20"/>
  <c r="AA40" i="17"/>
  <c r="AC40" i="20"/>
  <c r="AL40" i="20"/>
  <c r="J40" i="20"/>
  <c r="AJ40" i="20"/>
  <c r="AE40" i="20"/>
  <c r="U40" i="20"/>
  <c r="R40" i="17"/>
  <c r="AW40" i="17"/>
  <c r="Y40" i="20"/>
  <c r="L40" i="20"/>
  <c r="BB40" i="20"/>
  <c r="AJ40" i="17"/>
  <c r="AA40" i="20"/>
  <c r="AH40" i="17"/>
  <c r="BE40" i="17"/>
  <c r="AO40" i="20"/>
  <c r="L40" i="17"/>
  <c r="O40" i="20"/>
  <c r="N40" i="20"/>
  <c r="V40" i="17"/>
  <c r="Q40" i="17"/>
  <c r="BD40" i="17"/>
  <c r="AX40" i="17"/>
  <c r="AQ40" i="17"/>
  <c r="AI40" i="20"/>
  <c r="AQ40" i="20"/>
  <c r="AS40" i="20"/>
  <c r="AW40" i="20"/>
  <c r="BC40" i="17"/>
  <c r="AH40" i="20"/>
  <c r="BE40" i="20"/>
  <c r="AO40" i="17"/>
  <c r="V40" i="20"/>
  <c r="H40" i="20"/>
  <c r="AL40" i="17"/>
  <c r="K40" i="17"/>
  <c r="AK40" i="20"/>
  <c r="AV40" i="17"/>
  <c r="U40" i="17"/>
  <c r="Y40" i="17"/>
  <c r="S40" i="17"/>
  <c r="Q40" i="20"/>
  <c r="AP40" i="17"/>
  <c r="AN40" i="20"/>
  <c r="AN40" i="17"/>
  <c r="AT40" i="17"/>
  <c r="H41" i="20"/>
  <c r="I41" i="20" s="1"/>
  <c r="F56" i="17"/>
  <c r="F57" i="17" s="1"/>
  <c r="K40" i="20"/>
  <c r="P40" i="17"/>
  <c r="I40" i="20"/>
  <c r="AX40" i="20"/>
  <c r="AR40" i="20"/>
  <c r="AM40" i="20"/>
  <c r="AC40" i="17"/>
  <c r="W40" i="17"/>
  <c r="AU40" i="17"/>
  <c r="R40" i="20"/>
  <c r="AB40" i="20"/>
  <c r="AV40" i="20"/>
  <c r="AD40" i="17"/>
  <c r="AP40" i="20"/>
  <c r="AB40" i="17"/>
  <c r="AT40" i="20"/>
  <c r="X40" i="20"/>
  <c r="AY40" i="17"/>
  <c r="T40" i="20"/>
  <c r="BA40" i="20"/>
  <c r="O40" i="17"/>
  <c r="S40" i="20"/>
  <c r="BD40" i="20"/>
  <c r="AY40" i="20"/>
  <c r="J40" i="17"/>
  <c r="AE40" i="17"/>
  <c r="AI40" i="17"/>
  <c r="H38" i="17"/>
  <c r="I40" i="17"/>
  <c r="BC40" i="20"/>
  <c r="AZ40" i="17"/>
  <c r="AF40" i="17"/>
  <c r="M40" i="20"/>
  <c r="AS40" i="17"/>
  <c r="X40" i="17"/>
  <c r="H40" i="17"/>
  <c r="BB40" i="17"/>
  <c r="AD40" i="20"/>
  <c r="Z40" i="17"/>
  <c r="T40" i="17"/>
  <c r="AK40" i="17"/>
  <c r="N40" i="17"/>
  <c r="AR40" i="17"/>
  <c r="P40" i="20"/>
  <c r="M40" i="17"/>
  <c r="AF40" i="20"/>
  <c r="AG40" i="17"/>
  <c r="W40" i="20"/>
  <c r="BA40" i="17"/>
  <c r="H41" i="17"/>
  <c r="I41" i="17" s="1"/>
  <c r="AG40" i="20"/>
  <c r="F56" i="20"/>
  <c r="F57" i="20" s="1"/>
  <c r="G56" i="20"/>
  <c r="G57" i="20" s="1"/>
  <c r="E55" i="17"/>
  <c r="E56" i="20"/>
  <c r="E57" i="20" s="1"/>
  <c r="G56" i="17"/>
  <c r="G57" i="17" s="1"/>
  <c r="J29" i="20"/>
  <c r="J38" i="20" s="1"/>
  <c r="K19" i="20"/>
  <c r="J20" i="20"/>
  <c r="J29" i="17"/>
  <c r="J38" i="17" s="1"/>
  <c r="I19" i="20"/>
  <c r="I20" i="20"/>
  <c r="K28" i="20"/>
  <c r="K26" i="20"/>
  <c r="L9" i="17"/>
  <c r="K10" i="17"/>
  <c r="K15" i="17" s="1"/>
  <c r="K24" i="17" s="1"/>
  <c r="M12" i="20"/>
  <c r="L18" i="20"/>
  <c r="L16" i="20"/>
  <c r="K26" i="17"/>
  <c r="K28" i="17"/>
  <c r="N9" i="20"/>
  <c r="M10" i="20"/>
  <c r="M15" i="20" s="1"/>
  <c r="M24" i="20" s="1"/>
  <c r="L18" i="17"/>
  <c r="M12" i="17"/>
  <c r="L16" i="17"/>
  <c r="J17" i="17"/>
  <c r="L17" i="20"/>
  <c r="H19" i="20"/>
  <c r="D25" i="18" s="1"/>
  <c r="H20" i="20"/>
  <c r="K20" i="20"/>
  <c r="H19" i="17"/>
  <c r="D25" i="12" s="1"/>
  <c r="H20" i="17"/>
  <c r="I42" i="20" l="1"/>
  <c r="I42" i="17"/>
  <c r="H42" i="20"/>
  <c r="H43" i="20" s="1"/>
  <c r="H44" i="20" s="1"/>
  <c r="H46" i="20" s="1"/>
  <c r="H54" i="20" s="1"/>
  <c r="H55" i="20" s="1"/>
  <c r="H42" i="17"/>
  <c r="H43" i="17" s="1"/>
  <c r="H44" i="17" s="1"/>
  <c r="H46" i="17" s="1"/>
  <c r="H54" i="17" s="1"/>
  <c r="H55" i="17" s="1"/>
  <c r="K29" i="17"/>
  <c r="K38" i="17" s="1"/>
  <c r="L19" i="20"/>
  <c r="K29" i="20"/>
  <c r="K38" i="20" s="1"/>
  <c r="L20" i="20"/>
  <c r="L26" i="20"/>
  <c r="L28" i="20"/>
  <c r="J19" i="17"/>
  <c r="J20" i="17"/>
  <c r="N12" i="20"/>
  <c r="M18" i="20"/>
  <c r="M16" i="20"/>
  <c r="O9" i="20"/>
  <c r="N10" i="20"/>
  <c r="N15" i="20" s="1"/>
  <c r="L10" i="17"/>
  <c r="L15" i="17" s="1"/>
  <c r="L17" i="17" s="1"/>
  <c r="M9" i="17"/>
  <c r="J41" i="17"/>
  <c r="K41" i="17" s="1"/>
  <c r="L41" i="17" s="1"/>
  <c r="J41" i="20"/>
  <c r="M17" i="20"/>
  <c r="K17" i="17"/>
  <c r="I43" i="20"/>
  <c r="I44" i="20" s="1"/>
  <c r="I46" i="20" s="1"/>
  <c r="I54" i="20" s="1"/>
  <c r="L26" i="17"/>
  <c r="L28" i="17"/>
  <c r="D26" i="18"/>
  <c r="M18" i="17"/>
  <c r="N12" i="17"/>
  <c r="M16" i="17"/>
  <c r="D26" i="12"/>
  <c r="I43" i="17"/>
  <c r="I44" i="17" s="1"/>
  <c r="I46" i="17" s="1"/>
  <c r="I54" i="17" s="1"/>
  <c r="H56" i="17" l="1"/>
  <c r="H57" i="17" s="1"/>
  <c r="H56" i="20"/>
  <c r="H57" i="20" s="1"/>
  <c r="M19" i="20"/>
  <c r="L29" i="20"/>
  <c r="L38" i="20" s="1"/>
  <c r="L19" i="17"/>
  <c r="L20" i="17"/>
  <c r="L24" i="17"/>
  <c r="L29" i="17" s="1"/>
  <c r="L38" i="17" s="1"/>
  <c r="L42" i="17" s="1"/>
  <c r="N24" i="20"/>
  <c r="N18" i="17"/>
  <c r="O12" i="17"/>
  <c r="N16" i="17"/>
  <c r="O12" i="20"/>
  <c r="N18" i="20"/>
  <c r="N16" i="20"/>
  <c r="O10" i="20"/>
  <c r="O15" i="20" s="1"/>
  <c r="O17" i="20" s="1"/>
  <c r="P9" i="20"/>
  <c r="I56" i="20"/>
  <c r="I57" i="20" s="1"/>
  <c r="I55" i="20"/>
  <c r="N17" i="20"/>
  <c r="K42" i="17"/>
  <c r="J42" i="20"/>
  <c r="K19" i="17"/>
  <c r="K20" i="17"/>
  <c r="J42" i="17"/>
  <c r="M41" i="17"/>
  <c r="M28" i="20"/>
  <c r="M26" i="20"/>
  <c r="K41" i="20"/>
  <c r="I56" i="17"/>
  <c r="I57" i="17" s="1"/>
  <c r="I55" i="17"/>
  <c r="M26" i="17"/>
  <c r="M28" i="17"/>
  <c r="M10" i="17"/>
  <c r="M15" i="17" s="1"/>
  <c r="M24" i="17" s="1"/>
  <c r="N9" i="17"/>
  <c r="M20" i="20"/>
  <c r="M29" i="17" l="1"/>
  <c r="M38" i="17" s="1"/>
  <c r="M42" i="17" s="1"/>
  <c r="M43" i="17" s="1"/>
  <c r="M44" i="17" s="1"/>
  <c r="M46" i="17" s="1"/>
  <c r="M54" i="17" s="1"/>
  <c r="M29" i="20"/>
  <c r="M38" i="20" s="1"/>
  <c r="N20" i="20"/>
  <c r="K43" i="17"/>
  <c r="K44" i="17" s="1"/>
  <c r="K46" i="17" s="1"/>
  <c r="K54" i="17" s="1"/>
  <c r="N28" i="17"/>
  <c r="N26" i="17"/>
  <c r="N19" i="20"/>
  <c r="Q9" i="20"/>
  <c r="P10" i="20"/>
  <c r="P15" i="20" s="1"/>
  <c r="P12" i="17"/>
  <c r="O18" i="17"/>
  <c r="O16" i="17"/>
  <c r="L41" i="20"/>
  <c r="L42" i="20" s="1"/>
  <c r="J43" i="17"/>
  <c r="J44" i="17" s="1"/>
  <c r="J46" i="17" s="1"/>
  <c r="J54" i="17" s="1"/>
  <c r="M17" i="17"/>
  <c r="N41" i="17"/>
  <c r="O24" i="20"/>
  <c r="K42" i="20"/>
  <c r="N10" i="17"/>
  <c r="N15" i="17" s="1"/>
  <c r="O9" i="17"/>
  <c r="P12" i="20"/>
  <c r="O18" i="20"/>
  <c r="O20" i="20" s="1"/>
  <c r="O16" i="20"/>
  <c r="J43" i="20"/>
  <c r="J44" i="20" s="1"/>
  <c r="J46" i="20" s="1"/>
  <c r="J54" i="20" s="1"/>
  <c r="L43" i="17"/>
  <c r="L44" i="17" s="1"/>
  <c r="L46" i="17" s="1"/>
  <c r="L54" i="17" s="1"/>
  <c r="N28" i="20"/>
  <c r="N26" i="20"/>
  <c r="M41" i="20" l="1"/>
  <c r="N41" i="20" s="1"/>
  <c r="N29" i="20"/>
  <c r="N38" i="20" s="1"/>
  <c r="O19" i="20"/>
  <c r="J55" i="17"/>
  <c r="J56" i="17"/>
  <c r="J57" i="17" s="1"/>
  <c r="M56" i="17"/>
  <c r="M57" i="17" s="1"/>
  <c r="M55" i="17"/>
  <c r="L56" i="17"/>
  <c r="L57" i="17" s="1"/>
  <c r="L55" i="17"/>
  <c r="K55" i="17"/>
  <c r="K56" i="17"/>
  <c r="K57" i="17" s="1"/>
  <c r="J55" i="20"/>
  <c r="J56" i="20"/>
  <c r="J57" i="20" s="1"/>
  <c r="M19" i="17"/>
  <c r="M20" i="17"/>
  <c r="O26" i="17"/>
  <c r="O28" i="17"/>
  <c r="P24" i="20"/>
  <c r="P9" i="17"/>
  <c r="O10" i="17"/>
  <c r="O15" i="17" s="1"/>
  <c r="O17" i="17" s="1"/>
  <c r="Q10" i="20"/>
  <c r="Q15" i="20" s="1"/>
  <c r="R9" i="20"/>
  <c r="K43" i="20"/>
  <c r="K44" i="20" s="1"/>
  <c r="K46" i="20" s="1"/>
  <c r="K54" i="20" s="1"/>
  <c r="P18" i="20"/>
  <c r="Q12" i="20"/>
  <c r="P16" i="20"/>
  <c r="N24" i="17"/>
  <c r="N29" i="17" s="1"/>
  <c r="N38" i="17" s="1"/>
  <c r="N42" i="17" s="1"/>
  <c r="P17" i="20"/>
  <c r="P18" i="17"/>
  <c r="Q12" i="17"/>
  <c r="P16" i="17"/>
  <c r="N17" i="17"/>
  <c r="O41" i="17"/>
  <c r="L43" i="20"/>
  <c r="L44" i="20" s="1"/>
  <c r="L46" i="20" s="1"/>
  <c r="L54" i="20" s="1"/>
  <c r="O28" i="20"/>
  <c r="O26" i="20"/>
  <c r="P19" i="20" l="1"/>
  <c r="O41" i="20"/>
  <c r="P41" i="20" s="1"/>
  <c r="Q41" i="20" s="1"/>
  <c r="R41" i="20" s="1"/>
  <c r="S41" i="20" s="1"/>
  <c r="T41" i="20" s="1"/>
  <c r="U41" i="20" s="1"/>
  <c r="V41" i="20" s="1"/>
  <c r="W41" i="20" s="1"/>
  <c r="X41" i="20" s="1"/>
  <c r="Y41" i="20" s="1"/>
  <c r="Z41" i="20" s="1"/>
  <c r="AA41" i="20" s="1"/>
  <c r="AB41" i="20" s="1"/>
  <c r="AC41" i="20" s="1"/>
  <c r="AD41" i="20" s="1"/>
  <c r="AE41" i="20" s="1"/>
  <c r="AF41" i="20" s="1"/>
  <c r="AG41" i="20" s="1"/>
  <c r="AH41" i="20" s="1"/>
  <c r="AI41" i="20" s="1"/>
  <c r="AJ41" i="20" s="1"/>
  <c r="AK41" i="20" s="1"/>
  <c r="AL41" i="20" s="1"/>
  <c r="AM41" i="20" s="1"/>
  <c r="AN41" i="20" s="1"/>
  <c r="AO41" i="20" s="1"/>
  <c r="M42" i="20"/>
  <c r="M43" i="20" s="1"/>
  <c r="M44" i="20" s="1"/>
  <c r="M46" i="20" s="1"/>
  <c r="M54" i="20" s="1"/>
  <c r="N42" i="20"/>
  <c r="N43" i="20" s="1"/>
  <c r="N44" i="20" s="1"/>
  <c r="N46" i="20" s="1"/>
  <c r="N54" i="20" s="1"/>
  <c r="N55" i="20" s="1"/>
  <c r="O29" i="20"/>
  <c r="O38" i="20" s="1"/>
  <c r="O19" i="17"/>
  <c r="O20" i="17"/>
  <c r="P10" i="17"/>
  <c r="P15" i="17" s="1"/>
  <c r="Q9" i="17"/>
  <c r="L56" i="20"/>
  <c r="L57" i="20" s="1"/>
  <c r="L55" i="20"/>
  <c r="P41" i="17"/>
  <c r="S9" i="20"/>
  <c r="R10" i="20"/>
  <c r="R15" i="20" s="1"/>
  <c r="O24" i="17"/>
  <c r="O29" i="17" s="1"/>
  <c r="O38" i="17" s="1"/>
  <c r="O42" i="17" s="1"/>
  <c r="N43" i="17"/>
  <c r="N44" i="17" s="1"/>
  <c r="N46" i="17" s="1"/>
  <c r="N54" i="17" s="1"/>
  <c r="Q24" i="20"/>
  <c r="K56" i="20"/>
  <c r="K57" i="20" s="1"/>
  <c r="K55" i="20"/>
  <c r="Q17" i="20"/>
  <c r="P28" i="17"/>
  <c r="P26" i="17"/>
  <c r="P28" i="20"/>
  <c r="P26" i="20"/>
  <c r="Q18" i="17"/>
  <c r="R12" i="17"/>
  <c r="Q16" i="17"/>
  <c r="Q18" i="20"/>
  <c r="R12" i="20"/>
  <c r="Q16" i="20"/>
  <c r="N19" i="17"/>
  <c r="N20" i="17"/>
  <c r="P20" i="20"/>
  <c r="Q20" i="20" l="1"/>
  <c r="N56" i="20"/>
  <c r="N57" i="20" s="1"/>
  <c r="O42" i="20"/>
  <c r="O43" i="20" s="1"/>
  <c r="O44" i="20" s="1"/>
  <c r="O46" i="20" s="1"/>
  <c r="O54" i="20" s="1"/>
  <c r="O56" i="20" s="1"/>
  <c r="O57" i="20" s="1"/>
  <c r="AP41" i="20"/>
  <c r="AQ41" i="20" s="1"/>
  <c r="AR41" i="20" s="1"/>
  <c r="AS41" i="20" s="1"/>
  <c r="AT41" i="20" s="1"/>
  <c r="AU41" i="20" s="1"/>
  <c r="AV41" i="20" s="1"/>
  <c r="AW41" i="20" s="1"/>
  <c r="AX41" i="20" s="1"/>
  <c r="AY41" i="20" s="1"/>
  <c r="AZ41" i="20" s="1"/>
  <c r="BA41" i="20" s="1"/>
  <c r="BB41" i="20" s="1"/>
  <c r="BC41" i="20" s="1"/>
  <c r="BD41" i="20" s="1"/>
  <c r="BE41" i="20" s="1"/>
  <c r="P29" i="20"/>
  <c r="P38" i="20" s="1"/>
  <c r="P42" i="20" s="1"/>
  <c r="P43" i="20" s="1"/>
  <c r="P44" i="20" s="1"/>
  <c r="P46" i="20" s="1"/>
  <c r="P54" i="20" s="1"/>
  <c r="N55" i="17"/>
  <c r="N56" i="17"/>
  <c r="N57" i="17" s="1"/>
  <c r="M56" i="20"/>
  <c r="M57" i="20" s="1"/>
  <c r="M55" i="20"/>
  <c r="O43" i="17"/>
  <c r="O44" i="17" s="1"/>
  <c r="O46" i="17" s="1"/>
  <c r="O54" i="17" s="1"/>
  <c r="R24" i="20"/>
  <c r="R18" i="20"/>
  <c r="S12" i="20"/>
  <c r="R16" i="20"/>
  <c r="T9" i="20"/>
  <c r="S10" i="20"/>
  <c r="S15" i="20" s="1"/>
  <c r="Q28" i="20"/>
  <c r="Q26" i="20"/>
  <c r="R17" i="20"/>
  <c r="R9" i="17"/>
  <c r="Q10" i="17"/>
  <c r="Q15" i="17" s="1"/>
  <c r="Q24" i="17" s="1"/>
  <c r="P24" i="17"/>
  <c r="P29" i="17" s="1"/>
  <c r="P38" i="17" s="1"/>
  <c r="P42" i="17" s="1"/>
  <c r="Q28" i="17"/>
  <c r="Q26" i="17"/>
  <c r="R18" i="17"/>
  <c r="S12" i="17"/>
  <c r="R16" i="17"/>
  <c r="Q19" i="20"/>
  <c r="Q41" i="17"/>
  <c r="P17" i="17"/>
  <c r="Q29" i="20" l="1"/>
  <c r="Q38" i="20" s="1"/>
  <c r="Q42" i="20" s="1"/>
  <c r="Q43" i="20" s="1"/>
  <c r="Q44" i="20" s="1"/>
  <c r="Q46" i="20" s="1"/>
  <c r="Q54" i="20" s="1"/>
  <c r="O55" i="20"/>
  <c r="R19" i="20"/>
  <c r="P55" i="20"/>
  <c r="P56" i="20"/>
  <c r="P57" i="20" s="1"/>
  <c r="R28" i="17"/>
  <c r="R26" i="17"/>
  <c r="S24" i="20"/>
  <c r="Q29" i="17"/>
  <c r="Q38" i="17" s="1"/>
  <c r="Q42" i="17" s="1"/>
  <c r="U9" i="20"/>
  <c r="T10" i="20"/>
  <c r="T15" i="20" s="1"/>
  <c r="T24" i="20" s="1"/>
  <c r="S9" i="17"/>
  <c r="R10" i="17"/>
  <c r="R15" i="17" s="1"/>
  <c r="R24" i="17" s="1"/>
  <c r="S17" i="20"/>
  <c r="P19" i="17"/>
  <c r="P20" i="17"/>
  <c r="Q17" i="17"/>
  <c r="S18" i="17"/>
  <c r="T12" i="17"/>
  <c r="S16" i="17"/>
  <c r="O55" i="17"/>
  <c r="O56" i="17"/>
  <c r="O57" i="17" s="1"/>
  <c r="R41" i="17"/>
  <c r="S41" i="17" s="1"/>
  <c r="T41" i="17" s="1"/>
  <c r="U41" i="17" s="1"/>
  <c r="V41" i="17" s="1"/>
  <c r="W41" i="17" s="1"/>
  <c r="X41" i="17" s="1"/>
  <c r="Y41" i="17" s="1"/>
  <c r="Z41" i="17" s="1"/>
  <c r="AA41" i="17" s="1"/>
  <c r="AB41" i="17" s="1"/>
  <c r="AC41" i="17" s="1"/>
  <c r="AD41" i="17" s="1"/>
  <c r="AE41" i="17" s="1"/>
  <c r="AF41" i="17" s="1"/>
  <c r="AG41" i="17" s="1"/>
  <c r="AH41" i="17" s="1"/>
  <c r="AI41" i="17" s="1"/>
  <c r="AJ41" i="17" s="1"/>
  <c r="AK41" i="17" s="1"/>
  <c r="AL41" i="17" s="1"/>
  <c r="AM41" i="17" s="1"/>
  <c r="AN41" i="17" s="1"/>
  <c r="AO41" i="17" s="1"/>
  <c r="AP41" i="17" s="1"/>
  <c r="AQ41" i="17" s="1"/>
  <c r="AR41" i="17" s="1"/>
  <c r="AS41" i="17" s="1"/>
  <c r="AT41" i="17" s="1"/>
  <c r="AU41" i="17" s="1"/>
  <c r="AV41" i="17" s="1"/>
  <c r="AW41" i="17" s="1"/>
  <c r="AX41" i="17" s="1"/>
  <c r="AY41" i="17" s="1"/>
  <c r="AZ41" i="17" s="1"/>
  <c r="BA41" i="17" s="1"/>
  <c r="BB41" i="17" s="1"/>
  <c r="BC41" i="17" s="1"/>
  <c r="BD41" i="17" s="1"/>
  <c r="BE41" i="17" s="1"/>
  <c r="R28" i="20"/>
  <c r="R26" i="20"/>
  <c r="S18" i="20"/>
  <c r="T12" i="20"/>
  <c r="S16" i="20"/>
  <c r="P43" i="17"/>
  <c r="P44" i="17" s="1"/>
  <c r="P46" i="17" s="1"/>
  <c r="P54" i="17" s="1"/>
  <c r="R20" i="20"/>
  <c r="R29" i="20" l="1"/>
  <c r="R38" i="20" s="1"/>
  <c r="R42" i="20" s="1"/>
  <c r="R43" i="20" s="1"/>
  <c r="R44" i="20" s="1"/>
  <c r="R46" i="20" s="1"/>
  <c r="R54" i="20" s="1"/>
  <c r="T17" i="20"/>
  <c r="S19" i="20"/>
  <c r="Q56" i="20"/>
  <c r="Q57" i="20" s="1"/>
  <c r="Q55" i="20"/>
  <c r="P56" i="17"/>
  <c r="P57" i="17" s="1"/>
  <c r="P55" i="17"/>
  <c r="S28" i="20"/>
  <c r="S26" i="20"/>
  <c r="U12" i="17"/>
  <c r="T18" i="17"/>
  <c r="T16" i="17"/>
  <c r="V9" i="20"/>
  <c r="U10" i="20"/>
  <c r="U15" i="20" s="1"/>
  <c r="U24" i="20" s="1"/>
  <c r="R29" i="17"/>
  <c r="R38" i="17" s="1"/>
  <c r="R42" i="17" s="1"/>
  <c r="Q43" i="17"/>
  <c r="Q44" i="17" s="1"/>
  <c r="Q46" i="17" s="1"/>
  <c r="Q54" i="17" s="1"/>
  <c r="T9" i="17"/>
  <c r="S10" i="17"/>
  <c r="S15" i="17" s="1"/>
  <c r="S24" i="17" s="1"/>
  <c r="Q19" i="17"/>
  <c r="Q20" i="17"/>
  <c r="T18" i="20"/>
  <c r="U12" i="20"/>
  <c r="T16" i="20"/>
  <c r="S20" i="20"/>
  <c r="R17" i="17"/>
  <c r="S28" i="17"/>
  <c r="S26" i="17"/>
  <c r="T20" i="20" l="1"/>
  <c r="S29" i="17"/>
  <c r="S38" i="17" s="1"/>
  <c r="S42" i="17" s="1"/>
  <c r="S43" i="17" s="1"/>
  <c r="S44" i="17" s="1"/>
  <c r="S46" i="17" s="1"/>
  <c r="S54" i="17" s="1"/>
  <c r="S29" i="20"/>
  <c r="S38" i="20" s="1"/>
  <c r="S42" i="20" s="1"/>
  <c r="S43" i="20" s="1"/>
  <c r="S44" i="20" s="1"/>
  <c r="S46" i="20" s="1"/>
  <c r="S54" i="20" s="1"/>
  <c r="U17" i="20"/>
  <c r="Q56" i="17"/>
  <c r="Q57" i="17" s="1"/>
  <c r="Q55" i="17"/>
  <c r="R56" i="20"/>
  <c r="R57" i="20" s="1"/>
  <c r="R55" i="20"/>
  <c r="R19" i="17"/>
  <c r="R20" i="17"/>
  <c r="T28" i="17"/>
  <c r="T26" i="17"/>
  <c r="T10" i="17"/>
  <c r="T15" i="17" s="1"/>
  <c r="T24" i="17" s="1"/>
  <c r="U9" i="17"/>
  <c r="T28" i="20"/>
  <c r="T26" i="20"/>
  <c r="S17" i="17"/>
  <c r="U18" i="20"/>
  <c r="V12" i="20"/>
  <c r="U16" i="20"/>
  <c r="V12" i="17"/>
  <c r="U18" i="17"/>
  <c r="U16" i="17"/>
  <c r="R43" i="17"/>
  <c r="R44" i="17" s="1"/>
  <c r="R46" i="17" s="1"/>
  <c r="R54" i="17" s="1"/>
  <c r="T19" i="20"/>
  <c r="V10" i="20"/>
  <c r="V15" i="20" s="1"/>
  <c r="V24" i="20" s="1"/>
  <c r="W9" i="20"/>
  <c r="T29" i="20" l="1"/>
  <c r="T38" i="20" s="1"/>
  <c r="T42" i="20" s="1"/>
  <c r="T43" i="20" s="1"/>
  <c r="T44" i="20" s="1"/>
  <c r="T46" i="20" s="1"/>
  <c r="T54" i="20" s="1"/>
  <c r="U20" i="20"/>
  <c r="U19" i="20"/>
  <c r="R56" i="17"/>
  <c r="R57" i="17" s="1"/>
  <c r="R55" i="17"/>
  <c r="S56" i="20"/>
  <c r="S57" i="20" s="1"/>
  <c r="S55" i="20"/>
  <c r="X9" i="20"/>
  <c r="W10" i="20"/>
  <c r="W15" i="20" s="1"/>
  <c r="W24" i="20" s="1"/>
  <c r="U28" i="17"/>
  <c r="U26" i="17"/>
  <c r="W12" i="17"/>
  <c r="V18" i="17"/>
  <c r="V16" i="17"/>
  <c r="U26" i="20"/>
  <c r="U28" i="20"/>
  <c r="U10" i="17"/>
  <c r="U15" i="17" s="1"/>
  <c r="U24" i="17" s="1"/>
  <c r="V9" i="17"/>
  <c r="V17" i="20"/>
  <c r="T29" i="17"/>
  <c r="T38" i="17" s="1"/>
  <c r="T42" i="17" s="1"/>
  <c r="S56" i="17"/>
  <c r="S57" i="17" s="1"/>
  <c r="S55" i="17"/>
  <c r="V18" i="20"/>
  <c r="W12" i="20"/>
  <c r="V16" i="20"/>
  <c r="T17" i="17"/>
  <c r="S19" i="17"/>
  <c r="S20" i="17"/>
  <c r="U29" i="17" l="1"/>
  <c r="U38" i="17" s="1"/>
  <c r="U42" i="17" s="1"/>
  <c r="U43" i="17" s="1"/>
  <c r="U44" i="17" s="1"/>
  <c r="U46" i="17" s="1"/>
  <c r="U54" i="17" s="1"/>
  <c r="V19" i="20"/>
  <c r="U29" i="20"/>
  <c r="U38" i="20" s="1"/>
  <c r="U42" i="20" s="1"/>
  <c r="X10" i="20"/>
  <c r="X15" i="20" s="1"/>
  <c r="X24" i="20" s="1"/>
  <c r="Y9" i="20"/>
  <c r="V26" i="17"/>
  <c r="V28" i="17"/>
  <c r="W17" i="20"/>
  <c r="T55" i="20"/>
  <c r="T56" i="20"/>
  <c r="T57" i="20" s="1"/>
  <c r="T19" i="17"/>
  <c r="T20" i="17"/>
  <c r="U17" i="17"/>
  <c r="V28" i="20"/>
  <c r="V26" i="20"/>
  <c r="X12" i="20"/>
  <c r="W18" i="20"/>
  <c r="W16" i="20"/>
  <c r="W18" i="17"/>
  <c r="X12" i="17"/>
  <c r="W16" i="17"/>
  <c r="T43" i="17"/>
  <c r="T44" i="17" s="1"/>
  <c r="T46" i="17" s="1"/>
  <c r="T54" i="17" s="1"/>
  <c r="V20" i="20"/>
  <c r="V10" i="17"/>
  <c r="V15" i="17" s="1"/>
  <c r="V24" i="17" s="1"/>
  <c r="W9" i="17"/>
  <c r="V29" i="17" l="1"/>
  <c r="V38" i="17" s="1"/>
  <c r="V42" i="17" s="1"/>
  <c r="V43" i="17" s="1"/>
  <c r="V44" i="17" s="1"/>
  <c r="V46" i="17" s="1"/>
  <c r="V54" i="17" s="1"/>
  <c r="W19" i="20"/>
  <c r="U55" i="17"/>
  <c r="U56" i="17"/>
  <c r="U57" i="17" s="1"/>
  <c r="T56" i="17"/>
  <c r="T57" i="17" s="1"/>
  <c r="T55" i="17"/>
  <c r="U19" i="17"/>
  <c r="U20" i="17"/>
  <c r="W10" i="17"/>
  <c r="W15" i="17" s="1"/>
  <c r="W24" i="17" s="1"/>
  <c r="X9" i="17"/>
  <c r="W28" i="17"/>
  <c r="W26" i="17"/>
  <c r="Z9" i="20"/>
  <c r="Y10" i="20"/>
  <c r="Y15" i="20" s="1"/>
  <c r="Y24" i="20" s="1"/>
  <c r="W20" i="20"/>
  <c r="X17" i="20"/>
  <c r="V17" i="17"/>
  <c r="X18" i="20"/>
  <c r="Y12" i="20"/>
  <c r="X16" i="20"/>
  <c r="U43" i="20"/>
  <c r="U44" i="20" s="1"/>
  <c r="U46" i="20" s="1"/>
  <c r="U54" i="20" s="1"/>
  <c r="X18" i="17"/>
  <c r="Y12" i="17"/>
  <c r="X16" i="17"/>
  <c r="W26" i="20"/>
  <c r="W28" i="20"/>
  <c r="V29" i="20"/>
  <c r="V38" i="20" s="1"/>
  <c r="V42" i="20" s="1"/>
  <c r="W29" i="17" l="1"/>
  <c r="W38" i="17" s="1"/>
  <c r="W42" i="17" s="1"/>
  <c r="W43" i="17" s="1"/>
  <c r="W44" i="17" s="1"/>
  <c r="W46" i="17" s="1"/>
  <c r="W54" i="17" s="1"/>
  <c r="X20" i="20"/>
  <c r="V55" i="17"/>
  <c r="V56" i="17"/>
  <c r="V57" i="17" s="1"/>
  <c r="V43" i="20"/>
  <c r="V44" i="20" s="1"/>
  <c r="V46" i="20" s="1"/>
  <c r="V54" i="20" s="1"/>
  <c r="Y18" i="20"/>
  <c r="Z12" i="20"/>
  <c r="Y16" i="20"/>
  <c r="W17" i="17"/>
  <c r="X28" i="20"/>
  <c r="X26" i="20"/>
  <c r="AA9" i="20"/>
  <c r="Z10" i="20"/>
  <c r="Z15" i="20" s="1"/>
  <c r="Z24" i="20" s="1"/>
  <c r="Y18" i="17"/>
  <c r="Z12" i="17"/>
  <c r="Y16" i="17"/>
  <c r="Y17" i="20"/>
  <c r="X26" i="17"/>
  <c r="X28" i="17"/>
  <c r="W29" i="20"/>
  <c r="W38" i="20" s="1"/>
  <c r="W42" i="20" s="1"/>
  <c r="V19" i="17"/>
  <c r="V20" i="17"/>
  <c r="X19" i="20"/>
  <c r="U56" i="20"/>
  <c r="U57" i="20" s="1"/>
  <c r="U55" i="20"/>
  <c r="X10" i="17"/>
  <c r="X15" i="17" s="1"/>
  <c r="X24" i="17" s="1"/>
  <c r="Y9" i="17"/>
  <c r="X29" i="17" l="1"/>
  <c r="X38" i="17" s="1"/>
  <c r="X42" i="17" s="1"/>
  <c r="X43" i="17" s="1"/>
  <c r="X44" i="17" s="1"/>
  <c r="X46" i="17" s="1"/>
  <c r="X54" i="17" s="1"/>
  <c r="Y20" i="20"/>
  <c r="V55" i="20"/>
  <c r="V56" i="20"/>
  <c r="V57" i="20" s="1"/>
  <c r="Y28" i="20"/>
  <c r="Y26" i="20"/>
  <c r="Z18" i="20"/>
  <c r="AA12" i="20"/>
  <c r="Z16" i="20"/>
  <c r="AA12" i="17"/>
  <c r="Z18" i="17"/>
  <c r="Z16" i="17"/>
  <c r="Z9" i="17"/>
  <c r="Y10" i="17"/>
  <c r="Y15" i="17" s="1"/>
  <c r="Y24" i="17" s="1"/>
  <c r="W43" i="20"/>
  <c r="W44" i="20" s="1"/>
  <c r="W46" i="20" s="1"/>
  <c r="W54" i="20" s="1"/>
  <c r="Z17" i="20"/>
  <c r="X17" i="17"/>
  <c r="AB9" i="20"/>
  <c r="AA10" i="20"/>
  <c r="AA15" i="20" s="1"/>
  <c r="X29" i="20"/>
  <c r="X38" i="20" s="1"/>
  <c r="X42" i="20" s="1"/>
  <c r="W19" i="17"/>
  <c r="W20" i="17"/>
  <c r="W56" i="17"/>
  <c r="W57" i="17" s="1"/>
  <c r="W55" i="17"/>
  <c r="Y19" i="20"/>
  <c r="Y26" i="17"/>
  <c r="Y28" i="17"/>
  <c r="Y29" i="17" l="1"/>
  <c r="Y38" i="17" s="1"/>
  <c r="Y42" i="17" s="1"/>
  <c r="Y43" i="17" s="1"/>
  <c r="Y44" i="17" s="1"/>
  <c r="Y46" i="17" s="1"/>
  <c r="Y54" i="17" s="1"/>
  <c r="Y29" i="20"/>
  <c r="Y38" i="20" s="1"/>
  <c r="Y42" i="20" s="1"/>
  <c r="Y43" i="20" s="1"/>
  <c r="Y44" i="20" s="1"/>
  <c r="Y46" i="20" s="1"/>
  <c r="Y54" i="20" s="1"/>
  <c r="Z20" i="20"/>
  <c r="X55" i="17"/>
  <c r="X56" i="17"/>
  <c r="X57" i="17" s="1"/>
  <c r="Z28" i="20"/>
  <c r="Z26" i="20"/>
  <c r="AA24" i="20"/>
  <c r="E70" i="20"/>
  <c r="D33" i="18" s="1"/>
  <c r="E66" i="20"/>
  <c r="D30" i="18" s="1"/>
  <c r="AA18" i="20"/>
  <c r="AB12" i="20"/>
  <c r="AA16" i="20"/>
  <c r="AB10" i="20"/>
  <c r="AB15" i="20" s="1"/>
  <c r="AB24" i="20" s="1"/>
  <c r="AC9" i="20"/>
  <c r="AA17" i="20"/>
  <c r="Z10" i="17"/>
  <c r="Z15" i="17" s="1"/>
  <c r="Z24" i="17" s="1"/>
  <c r="AA9" i="17"/>
  <c r="Y17" i="17"/>
  <c r="W55" i="20"/>
  <c r="W56" i="20"/>
  <c r="W57" i="20" s="1"/>
  <c r="Z26" i="17"/>
  <c r="Z28" i="17"/>
  <c r="X43" i="20"/>
  <c r="X44" i="20" s="1"/>
  <c r="X46" i="20" s="1"/>
  <c r="X54" i="20" s="1"/>
  <c r="X19" i="17"/>
  <c r="X20" i="17"/>
  <c r="Z19" i="20"/>
  <c r="AA18" i="17"/>
  <c r="AB12" i="17"/>
  <c r="AA16" i="17"/>
  <c r="Z29" i="20" l="1"/>
  <c r="Z38" i="20" s="1"/>
  <c r="Z42" i="20" s="1"/>
  <c r="Z43" i="20" s="1"/>
  <c r="Z44" i="20" s="1"/>
  <c r="Z46" i="20" s="1"/>
  <c r="Z54" i="20" s="1"/>
  <c r="Z29" i="17"/>
  <c r="Z38" i="17" s="1"/>
  <c r="Z42" i="17" s="1"/>
  <c r="Z43" i="17" s="1"/>
  <c r="Z44" i="17" s="1"/>
  <c r="Z46" i="17" s="1"/>
  <c r="Z54" i="17" s="1"/>
  <c r="AA19" i="20"/>
  <c r="X56" i="20"/>
  <c r="X57" i="20" s="1"/>
  <c r="X55" i="20"/>
  <c r="AA20" i="20"/>
  <c r="Z17" i="17"/>
  <c r="AC10" i="20"/>
  <c r="AC15" i="20" s="1"/>
  <c r="AC24" i="20" s="1"/>
  <c r="AD9" i="20"/>
  <c r="AA28" i="17"/>
  <c r="AA26" i="17"/>
  <c r="E71" i="17"/>
  <c r="D34" i="12" s="1"/>
  <c r="E67" i="17"/>
  <c r="D31" i="12" s="1"/>
  <c r="AB17" i="20"/>
  <c r="AB18" i="17"/>
  <c r="AC12" i="17"/>
  <c r="AB16" i="17"/>
  <c r="Y19" i="17"/>
  <c r="Y20" i="17"/>
  <c r="AA28" i="20"/>
  <c r="AA26" i="20"/>
  <c r="E67" i="20"/>
  <c r="D31" i="18" s="1"/>
  <c r="E71" i="20"/>
  <c r="D34" i="18" s="1"/>
  <c r="Y56" i="20"/>
  <c r="Y57" i="20" s="1"/>
  <c r="Y55" i="20"/>
  <c r="Y56" i="17"/>
  <c r="Y57" i="17" s="1"/>
  <c r="Y55" i="17"/>
  <c r="AA10" i="17"/>
  <c r="AA15" i="17" s="1"/>
  <c r="AA17" i="17" s="1"/>
  <c r="AB9" i="17"/>
  <c r="AB18" i="20"/>
  <c r="AC12" i="20"/>
  <c r="AB16" i="20"/>
  <c r="AA29" i="20" l="1"/>
  <c r="AA38" i="20" s="1"/>
  <c r="AA42" i="20" s="1"/>
  <c r="AA43" i="20" s="1"/>
  <c r="AA44" i="20" s="1"/>
  <c r="AA46" i="20" s="1"/>
  <c r="AA54" i="20" s="1"/>
  <c r="AB20" i="20"/>
  <c r="AA19" i="17"/>
  <c r="AA20" i="17"/>
  <c r="AC17" i="20"/>
  <c r="AB10" i="17"/>
  <c r="AB15" i="17" s="1"/>
  <c r="AB24" i="17" s="1"/>
  <c r="AC9" i="17"/>
  <c r="AB26" i="20"/>
  <c r="AB28" i="20"/>
  <c r="Z19" i="17"/>
  <c r="Z20" i="17"/>
  <c r="AB26" i="17"/>
  <c r="AB28" i="17"/>
  <c r="Z56" i="20"/>
  <c r="Z57" i="20" s="1"/>
  <c r="Z55" i="20"/>
  <c r="AC18" i="20"/>
  <c r="AD12" i="20"/>
  <c r="AC16" i="20"/>
  <c r="AC18" i="17"/>
  <c r="AD12" i="17"/>
  <c r="AC16" i="17"/>
  <c r="Z56" i="17"/>
  <c r="Z57" i="17" s="1"/>
  <c r="Z55" i="17"/>
  <c r="AA24" i="17"/>
  <c r="AA29" i="17" s="1"/>
  <c r="AA38" i="17" s="1"/>
  <c r="AA42" i="17" s="1"/>
  <c r="E66" i="17"/>
  <c r="D30" i="12" s="1"/>
  <c r="E70" i="17"/>
  <c r="D33" i="12" s="1"/>
  <c r="AB19" i="20"/>
  <c r="AD10" i="20"/>
  <c r="AD15" i="20" s="1"/>
  <c r="AD24" i="20" s="1"/>
  <c r="AE9" i="20"/>
  <c r="AB29" i="17" l="1"/>
  <c r="AB38" i="17" s="1"/>
  <c r="AB42" i="17" s="1"/>
  <c r="AB43" i="17" s="1"/>
  <c r="AB44" i="17" s="1"/>
  <c r="AB46" i="17" s="1"/>
  <c r="AB54" i="17" s="1"/>
  <c r="AC20" i="20"/>
  <c r="AA56" i="20"/>
  <c r="AA57" i="20" s="1"/>
  <c r="E62" i="20" s="1"/>
  <c r="D22" i="18" s="1"/>
  <c r="AA55" i="20"/>
  <c r="E61" i="20" s="1"/>
  <c r="AD17" i="20"/>
  <c r="AB17" i="17"/>
  <c r="AC28" i="17"/>
  <c r="AC26" i="17"/>
  <c r="AD18" i="17"/>
  <c r="AE12" i="17"/>
  <c r="AD16" i="17"/>
  <c r="AC19" i="20"/>
  <c r="AC28" i="20"/>
  <c r="AC26" i="20"/>
  <c r="AA43" i="17"/>
  <c r="AA44" i="17" s="1"/>
  <c r="AA46" i="17" s="1"/>
  <c r="AA54" i="17" s="1"/>
  <c r="AD18" i="20"/>
  <c r="AE12" i="20"/>
  <c r="AD16" i="20"/>
  <c r="AB29" i="20"/>
  <c r="AB38" i="20" s="1"/>
  <c r="AB42" i="20" s="1"/>
  <c r="AE10" i="20"/>
  <c r="AE15" i="20" s="1"/>
  <c r="AE24" i="20" s="1"/>
  <c r="AF9" i="20"/>
  <c r="AC10" i="17"/>
  <c r="AC15" i="17" s="1"/>
  <c r="AC24" i="17" s="1"/>
  <c r="AD9" i="17"/>
  <c r="AD20" i="20" l="1"/>
  <c r="AC29" i="17"/>
  <c r="AC38" i="17" s="1"/>
  <c r="AC42" i="17" s="1"/>
  <c r="AC43" i="17" s="1"/>
  <c r="AC44" i="17" s="1"/>
  <c r="AC46" i="17" s="1"/>
  <c r="AC54" i="17" s="1"/>
  <c r="AB56" i="17"/>
  <c r="AB57" i="17" s="1"/>
  <c r="AB55" i="17"/>
  <c r="AA56" i="17"/>
  <c r="AA57" i="17" s="1"/>
  <c r="E62" i="17" s="1"/>
  <c r="D22" i="12" s="1"/>
  <c r="AA55" i="17"/>
  <c r="E61" i="17" s="1"/>
  <c r="AE17" i="20"/>
  <c r="AB43" i="20"/>
  <c r="AB44" i="20" s="1"/>
  <c r="AB46" i="20" s="1"/>
  <c r="AB54" i="20" s="1"/>
  <c r="AC29" i="20"/>
  <c r="AC38" i="20" s="1"/>
  <c r="AC42" i="20" s="1"/>
  <c r="AB19" i="17"/>
  <c r="AB20" i="17"/>
  <c r="AF10" i="20"/>
  <c r="AF15" i="20" s="1"/>
  <c r="AG9" i="20"/>
  <c r="AD19" i="20"/>
  <c r="AE9" i="17"/>
  <c r="AD10" i="17"/>
  <c r="AD15" i="17" s="1"/>
  <c r="AD24" i="17" s="1"/>
  <c r="AD28" i="20"/>
  <c r="AD26" i="20"/>
  <c r="AD28" i="17"/>
  <c r="AD26" i="17"/>
  <c r="AC17" i="17"/>
  <c r="AE18" i="20"/>
  <c r="AF12" i="20"/>
  <c r="AE16" i="20"/>
  <c r="AE18" i="17"/>
  <c r="AF12" i="17"/>
  <c r="AE16" i="17"/>
  <c r="E75" i="20"/>
  <c r="E74" i="20"/>
  <c r="D21" i="18"/>
  <c r="AE20" i="20" l="1"/>
  <c r="AD29" i="20"/>
  <c r="AD38" i="20" s="1"/>
  <c r="AD42" i="20" s="1"/>
  <c r="AD43" i="20" s="1"/>
  <c r="AD44" i="20" s="1"/>
  <c r="AD46" i="20" s="1"/>
  <c r="AD54" i="20" s="1"/>
  <c r="AD17" i="17"/>
  <c r="AD19" i="17" s="1"/>
  <c r="AB56" i="20"/>
  <c r="AB57" i="20" s="1"/>
  <c r="AB55" i="20"/>
  <c r="AC55" i="17"/>
  <c r="AC56" i="17"/>
  <c r="AC57" i="17" s="1"/>
  <c r="AE28" i="17"/>
  <c r="AE26" i="17"/>
  <c r="AF18" i="17"/>
  <c r="AG12" i="17"/>
  <c r="AF16" i="17"/>
  <c r="AG10" i="20"/>
  <c r="AG15" i="20" s="1"/>
  <c r="AG24" i="20" s="1"/>
  <c r="AH9" i="20"/>
  <c r="AE19" i="20"/>
  <c r="AF24" i="20"/>
  <c r="F70" i="20"/>
  <c r="E33" i="18" s="1"/>
  <c r="F66" i="20"/>
  <c r="E30" i="18" s="1"/>
  <c r="E73" i="17"/>
  <c r="E74" i="17"/>
  <c r="D21" i="12"/>
  <c r="AE26" i="20"/>
  <c r="AE28" i="20"/>
  <c r="AF17" i="20"/>
  <c r="AG12" i="20"/>
  <c r="AF18" i="20"/>
  <c r="AF16" i="20"/>
  <c r="AD29" i="17"/>
  <c r="AD38" i="17" s="1"/>
  <c r="AD42" i="17" s="1"/>
  <c r="AC19" i="17"/>
  <c r="AC20" i="17"/>
  <c r="AE10" i="17"/>
  <c r="AE15" i="17" s="1"/>
  <c r="AE24" i="17" s="1"/>
  <c r="AF9" i="17"/>
  <c r="AC43" i="20"/>
  <c r="AC44" i="20" s="1"/>
  <c r="AC46" i="20" s="1"/>
  <c r="AC54" i="20" s="1"/>
  <c r="AE29" i="17" l="1"/>
  <c r="AE38" i="17" s="1"/>
  <c r="AE42" i="17" s="1"/>
  <c r="AE43" i="17" s="1"/>
  <c r="AE44" i="17" s="1"/>
  <c r="AE46" i="17" s="1"/>
  <c r="AE54" i="17" s="1"/>
  <c r="AD20" i="17"/>
  <c r="AF20" i="20"/>
  <c r="AC56" i="20"/>
  <c r="AC57" i="20" s="1"/>
  <c r="AC55" i="20"/>
  <c r="AD55" i="20"/>
  <c r="AD56" i="20"/>
  <c r="AD57" i="20" s="1"/>
  <c r="AE17" i="17"/>
  <c r="AE29" i="20"/>
  <c r="AE38" i="20" s="1"/>
  <c r="AE42" i="20" s="1"/>
  <c r="AD43" i="17"/>
  <c r="AD44" i="17" s="1"/>
  <c r="AD46" i="17" s="1"/>
  <c r="AD54" i="17" s="1"/>
  <c r="AF26" i="20"/>
  <c r="AF28" i="20"/>
  <c r="F67" i="20"/>
  <c r="E31" i="18" s="1"/>
  <c r="F71" i="20"/>
  <c r="E34" i="18" s="1"/>
  <c r="AH10" i="20"/>
  <c r="AH15" i="20" s="1"/>
  <c r="AH24" i="20" s="1"/>
  <c r="AI9" i="20"/>
  <c r="AG9" i="17"/>
  <c r="AF10" i="17"/>
  <c r="AF15" i="17" s="1"/>
  <c r="AF17" i="17" s="1"/>
  <c r="AG18" i="20"/>
  <c r="AH12" i="20"/>
  <c r="AG16" i="20"/>
  <c r="AG17" i="20"/>
  <c r="AF26" i="17"/>
  <c r="AF28" i="17"/>
  <c r="F67" i="17"/>
  <c r="E31" i="12" s="1"/>
  <c r="F71" i="17"/>
  <c r="E34" i="12" s="1"/>
  <c r="AF19" i="20"/>
  <c r="AG18" i="17"/>
  <c r="AH12" i="17"/>
  <c r="AG16" i="17"/>
  <c r="AF29" i="20" l="1"/>
  <c r="AF38" i="20" s="1"/>
  <c r="AF42" i="20" s="1"/>
  <c r="AF43" i="20" s="1"/>
  <c r="AF44" i="20" s="1"/>
  <c r="AF46" i="20" s="1"/>
  <c r="AF54" i="20" s="1"/>
  <c r="AG20" i="20"/>
  <c r="AF19" i="17"/>
  <c r="AF20" i="17"/>
  <c r="AD56" i="17"/>
  <c r="AD57" i="17" s="1"/>
  <c r="AD55" i="17"/>
  <c r="AE55" i="17"/>
  <c r="AE56" i="17"/>
  <c r="AE57" i="17" s="1"/>
  <c r="AH9" i="17"/>
  <c r="AG10" i="17"/>
  <c r="AG15" i="17" s="1"/>
  <c r="AG24" i="17" s="1"/>
  <c r="AF24" i="17"/>
  <c r="AF29" i="17" s="1"/>
  <c r="AF38" i="17" s="1"/>
  <c r="AF42" i="17" s="1"/>
  <c r="F66" i="17"/>
  <c r="E30" i="12" s="1"/>
  <c r="F70" i="17"/>
  <c r="E33" i="12" s="1"/>
  <c r="AG28" i="17"/>
  <c r="AG26" i="17"/>
  <c r="AG19" i="20"/>
  <c r="AI10" i="20"/>
  <c r="AI15" i="20" s="1"/>
  <c r="AI24" i="20" s="1"/>
  <c r="AJ9" i="20"/>
  <c r="AH18" i="17"/>
  <c r="AI12" i="17"/>
  <c r="AH16" i="17"/>
  <c r="AE43" i="20"/>
  <c r="AE44" i="20" s="1"/>
  <c r="AE46" i="20" s="1"/>
  <c r="AE54" i="20" s="1"/>
  <c r="AG28" i="20"/>
  <c r="AG26" i="20"/>
  <c r="AH18" i="20"/>
  <c r="AI12" i="20"/>
  <c r="AH16" i="20"/>
  <c r="AH17" i="20"/>
  <c r="AE19" i="17"/>
  <c r="AE20" i="17"/>
  <c r="AG29" i="20" l="1"/>
  <c r="AG38" i="20" s="1"/>
  <c r="AG42" i="20" s="1"/>
  <c r="AG43" i="20" s="1"/>
  <c r="AG44" i="20" s="1"/>
  <c r="AG46" i="20" s="1"/>
  <c r="AG54" i="20" s="1"/>
  <c r="AG29" i="17"/>
  <c r="AG38" i="17" s="1"/>
  <c r="AG42" i="17" s="1"/>
  <c r="AG43" i="17" s="1"/>
  <c r="AG44" i="17" s="1"/>
  <c r="AG46" i="17" s="1"/>
  <c r="AG54" i="17" s="1"/>
  <c r="AH20" i="20"/>
  <c r="AF55" i="20"/>
  <c r="AF56" i="20"/>
  <c r="AF57" i="20" s="1"/>
  <c r="AH28" i="20"/>
  <c r="AH26" i="20"/>
  <c r="AH26" i="17"/>
  <c r="AH28" i="17"/>
  <c r="AI18" i="20"/>
  <c r="AJ12" i="20"/>
  <c r="AI16" i="20"/>
  <c r="AJ12" i="17"/>
  <c r="AI18" i="17"/>
  <c r="AI16" i="17"/>
  <c r="AK9" i="20"/>
  <c r="AJ10" i="20"/>
  <c r="AJ15" i="20" s="1"/>
  <c r="AJ24" i="20" s="1"/>
  <c r="AF43" i="17"/>
  <c r="AF44" i="17" s="1"/>
  <c r="AF46" i="17" s="1"/>
  <c r="AF54" i="17" s="1"/>
  <c r="AE56" i="20"/>
  <c r="AE57" i="20" s="1"/>
  <c r="AE55" i="20"/>
  <c r="AI17" i="20"/>
  <c r="AI9" i="17"/>
  <c r="AH10" i="17"/>
  <c r="AH15" i="17" s="1"/>
  <c r="AH24" i="17" s="1"/>
  <c r="AH19" i="20"/>
  <c r="AG17" i="17"/>
  <c r="AH29" i="20" l="1"/>
  <c r="AH38" i="20" s="1"/>
  <c r="AH42" i="20" s="1"/>
  <c r="AH43" i="20" s="1"/>
  <c r="AH44" i="20" s="1"/>
  <c r="AH46" i="20" s="1"/>
  <c r="AH54" i="20" s="1"/>
  <c r="AH29" i="17"/>
  <c r="AH38" i="17" s="1"/>
  <c r="AH42" i="17" s="1"/>
  <c r="AH43" i="17" s="1"/>
  <c r="AH44" i="17" s="1"/>
  <c r="AH46" i="17" s="1"/>
  <c r="AH54" i="17" s="1"/>
  <c r="AI20" i="20"/>
  <c r="AG56" i="20"/>
  <c r="AG57" i="20" s="1"/>
  <c r="AG55" i="20"/>
  <c r="AF56" i="17"/>
  <c r="AF57" i="17" s="1"/>
  <c r="F62" i="17" s="1"/>
  <c r="E22" i="12" s="1"/>
  <c r="AF55" i="17"/>
  <c r="F61" i="17" s="1"/>
  <c r="AJ18" i="20"/>
  <c r="AK12" i="20"/>
  <c r="AJ16" i="20"/>
  <c r="AK10" i="20"/>
  <c r="AK15" i="20" s="1"/>
  <c r="AL9" i="20"/>
  <c r="AJ17" i="20"/>
  <c r="AI26" i="17"/>
  <c r="AI28" i="17"/>
  <c r="AG55" i="17"/>
  <c r="AG56" i="17"/>
  <c r="AG57" i="17" s="1"/>
  <c r="AJ9" i="17"/>
  <c r="AI10" i="17"/>
  <c r="AI15" i="17" s="1"/>
  <c r="AI24" i="17" s="1"/>
  <c r="AH17" i="17"/>
  <c r="AJ18" i="17"/>
  <c r="AK12" i="17"/>
  <c r="AJ16" i="17"/>
  <c r="F62" i="20"/>
  <c r="E22" i="18" s="1"/>
  <c r="AG19" i="17"/>
  <c r="AG20" i="17"/>
  <c r="AI19" i="20"/>
  <c r="AI28" i="20"/>
  <c r="AI26" i="20"/>
  <c r="F61" i="20"/>
  <c r="AI29" i="20" l="1"/>
  <c r="AI38" i="20" s="1"/>
  <c r="AI42" i="20" s="1"/>
  <c r="AI43" i="20" s="1"/>
  <c r="AI44" i="20" s="1"/>
  <c r="AI46" i="20" s="1"/>
  <c r="AI54" i="20" s="1"/>
  <c r="AI29" i="17"/>
  <c r="AI38" i="17" s="1"/>
  <c r="AI42" i="17" s="1"/>
  <c r="AI43" i="17" s="1"/>
  <c r="AI44" i="17" s="1"/>
  <c r="AI46" i="17" s="1"/>
  <c r="AI54" i="17" s="1"/>
  <c r="AJ19" i="20"/>
  <c r="AH56" i="20"/>
  <c r="AH57" i="20" s="1"/>
  <c r="AH55" i="20"/>
  <c r="AJ28" i="20"/>
  <c r="AJ26" i="20"/>
  <c r="AK18" i="20"/>
  <c r="AL12" i="20"/>
  <c r="AK16" i="20"/>
  <c r="AK9" i="17"/>
  <c r="AJ10" i="17"/>
  <c r="AJ15" i="17" s="1"/>
  <c r="AJ24" i="17" s="1"/>
  <c r="AI17" i="17"/>
  <c r="AJ20" i="20"/>
  <c r="AJ28" i="17"/>
  <c r="AJ26" i="17"/>
  <c r="F73" i="17"/>
  <c r="E21" i="12"/>
  <c r="AL12" i="17"/>
  <c r="AK18" i="17"/>
  <c r="AK16" i="17"/>
  <c r="AM9" i="20"/>
  <c r="AL10" i="20"/>
  <c r="AL15" i="20" s="1"/>
  <c r="AL24" i="20" s="1"/>
  <c r="AH56" i="17"/>
  <c r="AH57" i="17" s="1"/>
  <c r="AH55" i="17"/>
  <c r="AK24" i="20"/>
  <c r="G66" i="20"/>
  <c r="F30" i="18" s="1"/>
  <c r="G70" i="20"/>
  <c r="F33" i="18" s="1"/>
  <c r="E21" i="18"/>
  <c r="F74" i="20"/>
  <c r="AH19" i="17"/>
  <c r="AH20" i="17"/>
  <c r="AK17" i="20"/>
  <c r="AJ29" i="20" l="1"/>
  <c r="AJ38" i="20" s="1"/>
  <c r="AJ42" i="20" s="1"/>
  <c r="AJ43" i="20" s="1"/>
  <c r="AJ44" i="20" s="1"/>
  <c r="AJ46" i="20" s="1"/>
  <c r="AJ54" i="20" s="1"/>
  <c r="AJ29" i="17"/>
  <c r="AJ38" i="17" s="1"/>
  <c r="AJ42" i="17" s="1"/>
  <c r="AJ43" i="17" s="1"/>
  <c r="AJ44" i="17" s="1"/>
  <c r="AJ46" i="17" s="1"/>
  <c r="AJ54" i="17" s="1"/>
  <c r="AK19" i="20"/>
  <c r="AI55" i="17"/>
  <c r="AI56" i="17"/>
  <c r="AI57" i="17" s="1"/>
  <c r="AK26" i="20"/>
  <c r="AK28" i="20"/>
  <c r="G67" i="20"/>
  <c r="F31" i="18" s="1"/>
  <c r="G71" i="20"/>
  <c r="F34" i="18" s="1"/>
  <c r="AN9" i="20"/>
  <c r="AM10" i="20"/>
  <c r="AM15" i="20" s="1"/>
  <c r="AM24" i="20" s="1"/>
  <c r="AL17" i="20"/>
  <c r="AL18" i="20"/>
  <c r="AM12" i="20"/>
  <c r="AL16" i="20"/>
  <c r="AI19" i="17"/>
  <c r="AI20" i="17"/>
  <c r="AK20" i="20"/>
  <c r="AK26" i="17"/>
  <c r="AK28" i="17"/>
  <c r="G67" i="17"/>
  <c r="F31" i="12" s="1"/>
  <c r="G71" i="17"/>
  <c r="F34" i="12" s="1"/>
  <c r="AL18" i="17"/>
  <c r="AM12" i="17"/>
  <c r="AL16" i="17"/>
  <c r="AK10" i="17"/>
  <c r="AK15" i="17" s="1"/>
  <c r="AK17" i="17" s="1"/>
  <c r="AL9" i="17"/>
  <c r="AJ17" i="17"/>
  <c r="AI56" i="20"/>
  <c r="AI57" i="20" s="1"/>
  <c r="AI55" i="20"/>
  <c r="AK29" i="20" l="1"/>
  <c r="AK38" i="20" s="1"/>
  <c r="AK42" i="20" s="1"/>
  <c r="AK43" i="20" s="1"/>
  <c r="AK44" i="20" s="1"/>
  <c r="AK46" i="20" s="1"/>
  <c r="AK54" i="20" s="1"/>
  <c r="AL20" i="20"/>
  <c r="AK19" i="17"/>
  <c r="AK20" i="17"/>
  <c r="AJ55" i="20"/>
  <c r="AJ56" i="20"/>
  <c r="AJ57" i="20" s="1"/>
  <c r="AM9" i="17"/>
  <c r="AL10" i="17"/>
  <c r="AL15" i="17" s="1"/>
  <c r="AL24" i="17" s="1"/>
  <c r="AL29" i="17" s="1"/>
  <c r="AL38" i="17" s="1"/>
  <c r="AL42" i="17" s="1"/>
  <c r="AM17" i="20"/>
  <c r="AL28" i="20"/>
  <c r="AL26" i="20"/>
  <c r="AL26" i="17"/>
  <c r="AL28" i="17"/>
  <c r="AN12" i="20"/>
  <c r="AM18" i="20"/>
  <c r="AM16" i="20"/>
  <c r="AN12" i="17"/>
  <c r="AM18" i="17"/>
  <c r="AM16" i="17"/>
  <c r="AJ55" i="17"/>
  <c r="AJ56" i="17"/>
  <c r="AJ57" i="17" s="1"/>
  <c r="AK24" i="17"/>
  <c r="AK29" i="17" s="1"/>
  <c r="AK38" i="17" s="1"/>
  <c r="AK42" i="17" s="1"/>
  <c r="G70" i="17"/>
  <c r="F33" i="12" s="1"/>
  <c r="G66" i="17"/>
  <c r="F30" i="12" s="1"/>
  <c r="AL19" i="20"/>
  <c r="AJ19" i="17"/>
  <c r="AJ20" i="17"/>
  <c r="AO9" i="20"/>
  <c r="AN10" i="20"/>
  <c r="AN15" i="20" s="1"/>
  <c r="AN24" i="20" s="1"/>
  <c r="AM20" i="20" l="1"/>
  <c r="AL29" i="20"/>
  <c r="AL38" i="20" s="1"/>
  <c r="AL42" i="20" s="1"/>
  <c r="AL43" i="20" s="1"/>
  <c r="AL44" i="20" s="1"/>
  <c r="AL46" i="20" s="1"/>
  <c r="AL54" i="20" s="1"/>
  <c r="AK56" i="20"/>
  <c r="AK57" i="20" s="1"/>
  <c r="G62" i="20" s="1"/>
  <c r="F22" i="18" s="1"/>
  <c r="AK55" i="20"/>
  <c r="G61" i="20" s="1"/>
  <c r="AP9" i="20"/>
  <c r="AO10" i="20"/>
  <c r="AO15" i="20" s="1"/>
  <c r="AO24" i="20" s="1"/>
  <c r="AN18" i="17"/>
  <c r="AO12" i="17"/>
  <c r="AN16" i="17"/>
  <c r="AM19" i="20"/>
  <c r="AL43" i="17"/>
  <c r="AL44" i="17" s="1"/>
  <c r="AL46" i="17" s="1"/>
  <c r="AL54" i="17" s="1"/>
  <c r="AM10" i="17"/>
  <c r="AM15" i="17" s="1"/>
  <c r="AM24" i="17" s="1"/>
  <c r="AN9" i="17"/>
  <c r="AK43" i="17"/>
  <c r="AK44" i="17" s="1"/>
  <c r="AK46" i="17" s="1"/>
  <c r="AK54" i="17" s="1"/>
  <c r="AN18" i="20"/>
  <c r="AO12" i="20"/>
  <c r="AN16" i="20"/>
  <c r="AL17" i="17"/>
  <c r="AM26" i="20"/>
  <c r="AM28" i="20"/>
  <c r="AN17" i="20"/>
  <c r="AM26" i="17"/>
  <c r="AM28" i="17"/>
  <c r="AN19" i="20" l="1"/>
  <c r="AM29" i="20"/>
  <c r="AM38" i="20" s="1"/>
  <c r="AM42" i="20" s="1"/>
  <c r="AM43" i="20" s="1"/>
  <c r="AM44" i="20" s="1"/>
  <c r="AM46" i="20" s="1"/>
  <c r="AM54" i="20" s="1"/>
  <c r="AM29" i="17"/>
  <c r="AM38" i="17" s="1"/>
  <c r="AM42" i="17" s="1"/>
  <c r="AM43" i="17" s="1"/>
  <c r="AM44" i="17" s="1"/>
  <c r="AM46" i="17" s="1"/>
  <c r="AM54" i="17" s="1"/>
  <c r="AL56" i="20"/>
  <c r="AL57" i="20" s="1"/>
  <c r="AL55" i="20"/>
  <c r="AL56" i="17"/>
  <c r="AL57" i="17" s="1"/>
  <c r="AL55" i="17"/>
  <c r="AK55" i="17"/>
  <c r="G61" i="17" s="1"/>
  <c r="AK56" i="17"/>
  <c r="AK57" i="17" s="1"/>
  <c r="G62" i="17" s="1"/>
  <c r="F22" i="12" s="1"/>
  <c r="AN28" i="17"/>
  <c r="AN26" i="17"/>
  <c r="AO18" i="17"/>
  <c r="AP12" i="17"/>
  <c r="AO16" i="17"/>
  <c r="AN10" i="17"/>
  <c r="AN15" i="17" s="1"/>
  <c r="AN24" i="17" s="1"/>
  <c r="AO9" i="17"/>
  <c r="AL19" i="17"/>
  <c r="AL20" i="17"/>
  <c r="AM17" i="17"/>
  <c r="AQ9" i="20"/>
  <c r="AP10" i="20"/>
  <c r="AP15" i="20" s="1"/>
  <c r="AP24" i="20" s="1"/>
  <c r="AN26" i="20"/>
  <c r="AN28" i="20"/>
  <c r="AO17" i="20"/>
  <c r="AO18" i="20"/>
  <c r="AP12" i="20"/>
  <c r="AO16" i="20"/>
  <c r="F21" i="18"/>
  <c r="G74" i="20"/>
  <c r="G75" i="20"/>
  <c r="AN20" i="20"/>
  <c r="AN29" i="17" l="1"/>
  <c r="AN38" i="17" s="1"/>
  <c r="AN42" i="17" s="1"/>
  <c r="AN43" i="17" s="1"/>
  <c r="AN44" i="17" s="1"/>
  <c r="AN46" i="17" s="1"/>
  <c r="AN54" i="17" s="1"/>
  <c r="AN29" i="20"/>
  <c r="AN38" i="20" s="1"/>
  <c r="AN42" i="20" s="1"/>
  <c r="AN43" i="20" s="1"/>
  <c r="AN44" i="20" s="1"/>
  <c r="AN46" i="20" s="1"/>
  <c r="AN54" i="20" s="1"/>
  <c r="AO20" i="20"/>
  <c r="AM56" i="20"/>
  <c r="AM57" i="20" s="1"/>
  <c r="AM55" i="20"/>
  <c r="AM56" i="17"/>
  <c r="AM57" i="17" s="1"/>
  <c r="AM55" i="17"/>
  <c r="AP18" i="20"/>
  <c r="AQ12" i="20"/>
  <c r="AP16" i="20"/>
  <c r="AR9" i="20"/>
  <c r="AQ10" i="20"/>
  <c r="AQ15" i="20" s="1"/>
  <c r="AQ24" i="20" s="1"/>
  <c r="AP17" i="20"/>
  <c r="AP9" i="17"/>
  <c r="AO10" i="17"/>
  <c r="AO15" i="17" s="1"/>
  <c r="AO24" i="17" s="1"/>
  <c r="AO26" i="20"/>
  <c r="AO28" i="20"/>
  <c r="AM19" i="17"/>
  <c r="AM20" i="17"/>
  <c r="F21" i="12"/>
  <c r="G73" i="17"/>
  <c r="AN17" i="17"/>
  <c r="AO19" i="20"/>
  <c r="AO28" i="17"/>
  <c r="AO26" i="17"/>
  <c r="AQ12" i="17"/>
  <c r="AP18" i="17"/>
  <c r="AP16" i="17"/>
  <c r="AP20" i="20" l="1"/>
  <c r="AO29" i="20"/>
  <c r="AO38" i="20" s="1"/>
  <c r="AO42" i="20" s="1"/>
  <c r="AO43" i="20" s="1"/>
  <c r="AO44" i="20" s="1"/>
  <c r="AO46" i="20" s="1"/>
  <c r="AO54" i="20" s="1"/>
  <c r="AO29" i="17"/>
  <c r="AO38" i="17" s="1"/>
  <c r="AO42" i="17" s="1"/>
  <c r="AO43" i="17" s="1"/>
  <c r="AO44" i="17" s="1"/>
  <c r="AO46" i="17" s="1"/>
  <c r="AO54" i="17" s="1"/>
  <c r="AP19" i="20"/>
  <c r="AN56" i="17"/>
  <c r="AN57" i="17" s="1"/>
  <c r="AN55" i="17"/>
  <c r="AP28" i="20"/>
  <c r="AP26" i="20"/>
  <c r="AR12" i="20"/>
  <c r="AQ18" i="20"/>
  <c r="AQ16" i="20"/>
  <c r="AN55" i="20"/>
  <c r="AN56" i="20"/>
  <c r="AN57" i="20" s="1"/>
  <c r="AP10" i="17"/>
  <c r="AP15" i="17" s="1"/>
  <c r="AP24" i="17" s="1"/>
  <c r="AQ9" i="17"/>
  <c r="AP26" i="17"/>
  <c r="AP28" i="17"/>
  <c r="AO17" i="17"/>
  <c r="AN19" i="17"/>
  <c r="AN20" i="17"/>
  <c r="AR12" i="17"/>
  <c r="AQ18" i="17"/>
  <c r="AQ16" i="17"/>
  <c r="AS9" i="20"/>
  <c r="AR10" i="20"/>
  <c r="AR15" i="20" s="1"/>
  <c r="AR24" i="20" s="1"/>
  <c r="AQ17" i="20"/>
  <c r="AP29" i="17" l="1"/>
  <c r="AP38" i="17" s="1"/>
  <c r="AP42" i="17" s="1"/>
  <c r="AP43" i="17" s="1"/>
  <c r="AP44" i="17" s="1"/>
  <c r="AP46" i="17" s="1"/>
  <c r="AP54" i="17" s="1"/>
  <c r="AQ19" i="20"/>
  <c r="AO56" i="17"/>
  <c r="AO57" i="17" s="1"/>
  <c r="AO55" i="17"/>
  <c r="AO55" i="20"/>
  <c r="AO56" i="20"/>
  <c r="AO57" i="20" s="1"/>
  <c r="AQ28" i="17"/>
  <c r="AQ26" i="17"/>
  <c r="AQ10" i="17"/>
  <c r="AQ15" i="17" s="1"/>
  <c r="AQ24" i="17" s="1"/>
  <c r="AR9" i="17"/>
  <c r="AR18" i="17"/>
  <c r="AS12" i="17"/>
  <c r="AR16" i="17"/>
  <c r="AP17" i="17"/>
  <c r="AP29" i="20"/>
  <c r="AP38" i="20" s="1"/>
  <c r="AP42" i="20" s="1"/>
  <c r="AQ28" i="20"/>
  <c r="AQ26" i="20"/>
  <c r="AO19" i="17"/>
  <c r="AO20" i="17"/>
  <c r="AQ20" i="20"/>
  <c r="AS10" i="20"/>
  <c r="AS15" i="20" s="1"/>
  <c r="AS24" i="20" s="1"/>
  <c r="AT9" i="20"/>
  <c r="AR17" i="20"/>
  <c r="AS12" i="20"/>
  <c r="AR18" i="20"/>
  <c r="AR16" i="20"/>
  <c r="AQ29" i="17" l="1"/>
  <c r="AQ38" i="17" s="1"/>
  <c r="AQ42" i="17" s="1"/>
  <c r="AQ43" i="17" s="1"/>
  <c r="AQ44" i="17" s="1"/>
  <c r="AQ46" i="17" s="1"/>
  <c r="AQ54" i="17" s="1"/>
  <c r="AS17" i="20"/>
  <c r="AR20" i="20"/>
  <c r="AQ29" i="20"/>
  <c r="AQ38" i="20" s="1"/>
  <c r="AQ42" i="20" s="1"/>
  <c r="AQ43" i="20" s="1"/>
  <c r="AQ44" i="20" s="1"/>
  <c r="AQ46" i="20" s="1"/>
  <c r="AQ54" i="20" s="1"/>
  <c r="AP19" i="17"/>
  <c r="AP20" i="17"/>
  <c r="AQ17" i="17"/>
  <c r="AR28" i="20"/>
  <c r="AR26" i="20"/>
  <c r="AR28" i="17"/>
  <c r="AR26" i="17"/>
  <c r="AP43" i="20"/>
  <c r="AP44" i="20" s="1"/>
  <c r="AP46" i="20" s="1"/>
  <c r="AP54" i="20" s="1"/>
  <c r="AT12" i="17"/>
  <c r="AS18" i="17"/>
  <c r="AS16" i="17"/>
  <c r="AT12" i="20"/>
  <c r="AS18" i="20"/>
  <c r="AS16" i="20"/>
  <c r="AR19" i="20"/>
  <c r="AP56" i="17"/>
  <c r="AP57" i="17" s="1"/>
  <c r="AP55" i="17"/>
  <c r="AT10" i="20"/>
  <c r="AT15" i="20" s="1"/>
  <c r="AT24" i="20" s="1"/>
  <c r="AU9" i="20"/>
  <c r="AR10" i="17"/>
  <c r="AR15" i="17" s="1"/>
  <c r="AR24" i="17" s="1"/>
  <c r="AS9" i="17"/>
  <c r="AS20" i="20" l="1"/>
  <c r="AR29" i="17"/>
  <c r="AR38" i="17" s="1"/>
  <c r="AR42" i="17" s="1"/>
  <c r="AR43" i="17" s="1"/>
  <c r="AR44" i="17" s="1"/>
  <c r="AR46" i="17" s="1"/>
  <c r="AR54" i="17" s="1"/>
  <c r="AR29" i="20"/>
  <c r="AR38" i="20" s="1"/>
  <c r="AR42" i="20" s="1"/>
  <c r="AR43" i="20" s="1"/>
  <c r="AR44" i="20" s="1"/>
  <c r="AR46" i="20" s="1"/>
  <c r="AR54" i="20" s="1"/>
  <c r="AP56" i="20"/>
  <c r="AP57" i="20" s="1"/>
  <c r="AP55" i="20"/>
  <c r="AQ55" i="17"/>
  <c r="AQ56" i="17"/>
  <c r="AQ57" i="17" s="1"/>
  <c r="AS28" i="17"/>
  <c r="AS26" i="17"/>
  <c r="AR17" i="17"/>
  <c r="AQ19" i="17"/>
  <c r="AQ20" i="17"/>
  <c r="AQ55" i="20"/>
  <c r="AQ56" i="20"/>
  <c r="AQ57" i="20" s="1"/>
  <c r="AT18" i="17"/>
  <c r="AU12" i="17"/>
  <c r="AT16" i="17"/>
  <c r="AT18" i="20"/>
  <c r="AU12" i="20"/>
  <c r="AT16" i="20"/>
  <c r="AU10" i="20"/>
  <c r="AU15" i="20" s="1"/>
  <c r="AV9" i="20"/>
  <c r="AS19" i="20"/>
  <c r="AT9" i="17"/>
  <c r="AS10" i="17"/>
  <c r="AS15" i="17" s="1"/>
  <c r="AS24" i="17" s="1"/>
  <c r="AT17" i="20"/>
  <c r="AS28" i="20"/>
  <c r="AS26" i="20"/>
  <c r="AT19" i="20" l="1"/>
  <c r="AS29" i="17"/>
  <c r="AS38" i="17" s="1"/>
  <c r="AS42" i="17" s="1"/>
  <c r="AS43" i="17" s="1"/>
  <c r="AS44" i="17" s="1"/>
  <c r="AS46" i="17" s="1"/>
  <c r="AS54" i="17" s="1"/>
  <c r="AR56" i="20"/>
  <c r="AR57" i="20" s="1"/>
  <c r="AR55" i="20"/>
  <c r="AR55" i="17"/>
  <c r="AR56" i="17"/>
  <c r="AR57" i="17" s="1"/>
  <c r="AU24" i="20"/>
  <c r="H66" i="20"/>
  <c r="G30" i="18" s="1"/>
  <c r="H70" i="20"/>
  <c r="G33" i="18" s="1"/>
  <c r="AU17" i="20"/>
  <c r="AT28" i="20"/>
  <c r="AT26" i="20"/>
  <c r="AU18" i="20"/>
  <c r="AV12" i="20"/>
  <c r="AU16" i="20"/>
  <c r="AT20" i="20"/>
  <c r="AR19" i="17"/>
  <c r="AR20" i="17"/>
  <c r="AT10" i="17"/>
  <c r="AT15" i="17" s="1"/>
  <c r="AT24" i="17" s="1"/>
  <c r="AU9" i="17"/>
  <c r="AS17" i="17"/>
  <c r="AT28" i="17"/>
  <c r="AT26" i="17"/>
  <c r="AV10" i="20"/>
  <c r="AV15" i="20" s="1"/>
  <c r="AV24" i="20" s="1"/>
  <c r="AW9" i="20"/>
  <c r="AS29" i="20"/>
  <c r="AS38" i="20" s="1"/>
  <c r="AS42" i="20" s="1"/>
  <c r="AV12" i="17"/>
  <c r="AU18" i="17"/>
  <c r="AU16" i="17"/>
  <c r="AU20" i="20" l="1"/>
  <c r="AT29" i="20"/>
  <c r="AT38" i="20" s="1"/>
  <c r="AT42" i="20" s="1"/>
  <c r="AT43" i="20" s="1"/>
  <c r="AT44" i="20" s="1"/>
  <c r="AT46" i="20" s="1"/>
  <c r="AT54" i="20" s="1"/>
  <c r="AT29" i="17"/>
  <c r="AT38" i="17" s="1"/>
  <c r="AT42" i="17" s="1"/>
  <c r="AT43" i="17" s="1"/>
  <c r="AT44" i="17" s="1"/>
  <c r="AT46" i="17" s="1"/>
  <c r="AT54" i="17" s="1"/>
  <c r="AS56" i="17"/>
  <c r="AS57" i="17" s="1"/>
  <c r="AS55" i="17"/>
  <c r="AV9" i="17"/>
  <c r="AU10" i="17"/>
  <c r="AU15" i="17" s="1"/>
  <c r="AU28" i="17"/>
  <c r="AU26" i="17"/>
  <c r="H67" i="17"/>
  <c r="G31" i="12" s="1"/>
  <c r="H71" i="17"/>
  <c r="G34" i="12" s="1"/>
  <c r="AS43" i="20"/>
  <c r="AS44" i="20" s="1"/>
  <c r="AS46" i="20" s="1"/>
  <c r="AS54" i="20" s="1"/>
  <c r="AT17" i="17"/>
  <c r="AU26" i="20"/>
  <c r="AU28" i="20"/>
  <c r="H71" i="20"/>
  <c r="G34" i="18" s="1"/>
  <c r="H67" i="20"/>
  <c r="G31" i="18" s="1"/>
  <c r="AW12" i="20"/>
  <c r="AV18" i="20"/>
  <c r="AV16" i="20"/>
  <c r="AV17" i="20"/>
  <c r="AS19" i="17"/>
  <c r="AS20" i="17"/>
  <c r="AW12" i="17"/>
  <c r="AV18" i="17"/>
  <c r="AV16" i="17"/>
  <c r="AW10" i="20"/>
  <c r="AW15" i="20" s="1"/>
  <c r="AW24" i="20" s="1"/>
  <c r="AX9" i="20"/>
  <c r="AU19" i="20"/>
  <c r="AV19" i="20" l="1"/>
  <c r="AU29" i="20"/>
  <c r="AU38" i="20" s="1"/>
  <c r="AU42" i="20" s="1"/>
  <c r="AU43" i="20" s="1"/>
  <c r="AU44" i="20" s="1"/>
  <c r="AU46" i="20" s="1"/>
  <c r="AU54" i="20" s="1"/>
  <c r="AT55" i="17"/>
  <c r="AT56" i="17"/>
  <c r="AT57" i="17" s="1"/>
  <c r="AV26" i="17"/>
  <c r="AV28" i="17"/>
  <c r="AT55" i="20"/>
  <c r="AT56" i="20"/>
  <c r="AT57" i="20" s="1"/>
  <c r="AT19" i="17"/>
  <c r="AT20" i="17"/>
  <c r="AV26" i="20"/>
  <c r="AV28" i="20"/>
  <c r="AW18" i="17"/>
  <c r="AX12" i="17"/>
  <c r="AW16" i="17"/>
  <c r="AV20" i="20"/>
  <c r="AU24" i="17"/>
  <c r="AU29" i="17" s="1"/>
  <c r="AU38" i="17" s="1"/>
  <c r="AU42" i="17" s="1"/>
  <c r="H70" i="17"/>
  <c r="G33" i="12" s="1"/>
  <c r="H66" i="17"/>
  <c r="G30" i="12" s="1"/>
  <c r="AW18" i="20"/>
  <c r="AX12" i="20"/>
  <c r="AW16" i="20"/>
  <c r="AS56" i="20"/>
  <c r="AS57" i="20" s="1"/>
  <c r="AS55" i="20"/>
  <c r="AV10" i="17"/>
  <c r="AV15" i="17" s="1"/>
  <c r="AV24" i="17" s="1"/>
  <c r="AW9" i="17"/>
  <c r="AU17" i="17"/>
  <c r="AY9" i="20"/>
  <c r="AX10" i="20"/>
  <c r="AX15" i="20" s="1"/>
  <c r="AX24" i="20" s="1"/>
  <c r="AW17" i="20"/>
  <c r="AW19" i="20" l="1"/>
  <c r="AV29" i="17"/>
  <c r="AV38" i="17" s="1"/>
  <c r="AV42" i="17" s="1"/>
  <c r="AV43" i="17" s="1"/>
  <c r="AV44" i="17" s="1"/>
  <c r="AV46" i="17" s="1"/>
  <c r="AV54" i="17" s="1"/>
  <c r="AU56" i="20"/>
  <c r="AU57" i="20" s="1"/>
  <c r="H62" i="20" s="1"/>
  <c r="G22" i="18" s="1"/>
  <c r="AU55" i="20"/>
  <c r="H61" i="20" s="1"/>
  <c r="AW26" i="17"/>
  <c r="AW28" i="17"/>
  <c r="AW28" i="20"/>
  <c r="AW26" i="20"/>
  <c r="AX17" i="20"/>
  <c r="AX18" i="20"/>
  <c r="AY12" i="20"/>
  <c r="AX16" i="20"/>
  <c r="AY12" i="17"/>
  <c r="AX18" i="17"/>
  <c r="AX16" i="17"/>
  <c r="AW20" i="20"/>
  <c r="AZ9" i="20"/>
  <c r="AY10" i="20"/>
  <c r="AY15" i="20" s="1"/>
  <c r="AY24" i="20" s="1"/>
  <c r="AU19" i="17"/>
  <c r="AU20" i="17"/>
  <c r="AW10" i="17"/>
  <c r="AW15" i="17" s="1"/>
  <c r="AW24" i="17" s="1"/>
  <c r="AX9" i="17"/>
  <c r="AV17" i="17"/>
  <c r="AU43" i="17"/>
  <c r="AU44" i="17" s="1"/>
  <c r="AU46" i="17" s="1"/>
  <c r="AU54" i="17" s="1"/>
  <c r="AV29" i="20"/>
  <c r="AV38" i="20" s="1"/>
  <c r="AV42" i="20" s="1"/>
  <c r="AW29" i="17" l="1"/>
  <c r="AW38" i="17" s="1"/>
  <c r="AW42" i="17" s="1"/>
  <c r="AX20" i="20"/>
  <c r="AW29" i="20"/>
  <c r="AW38" i="20" s="1"/>
  <c r="AW42" i="20" s="1"/>
  <c r="AW43" i="20" s="1"/>
  <c r="AW44" i="20" s="1"/>
  <c r="AW46" i="20" s="1"/>
  <c r="AW54" i="20" s="1"/>
  <c r="AX19" i="20"/>
  <c r="AV55" i="17"/>
  <c r="AV56" i="17"/>
  <c r="AV57" i="17" s="1"/>
  <c r="AU56" i="17"/>
  <c r="AU57" i="17" s="1"/>
  <c r="H62" i="17" s="1"/>
  <c r="G22" i="12" s="1"/>
  <c r="AU55" i="17"/>
  <c r="H61" i="17" s="1"/>
  <c r="AY9" i="17"/>
  <c r="AX10" i="17"/>
  <c r="AX15" i="17" s="1"/>
  <c r="AX24" i="17" s="1"/>
  <c r="AY17" i="20"/>
  <c r="AX28" i="17"/>
  <c r="AX26" i="17"/>
  <c r="AV43" i="20"/>
  <c r="AV44" i="20" s="1"/>
  <c r="AV46" i="20" s="1"/>
  <c r="AV54" i="20" s="1"/>
  <c r="AW43" i="17"/>
  <c r="AW44" i="17" s="1"/>
  <c r="AW46" i="17" s="1"/>
  <c r="AW54" i="17" s="1"/>
  <c r="AY18" i="17"/>
  <c r="AZ12" i="17"/>
  <c r="AY16" i="17"/>
  <c r="AW17" i="17"/>
  <c r="AV19" i="17"/>
  <c r="AV20" i="17"/>
  <c r="AX28" i="20"/>
  <c r="AX26" i="20"/>
  <c r="AY18" i="20"/>
  <c r="AZ12" i="20"/>
  <c r="AY16" i="20"/>
  <c r="G21" i="18"/>
  <c r="H74" i="20"/>
  <c r="BA9" i="20"/>
  <c r="AZ10" i="20"/>
  <c r="AZ15" i="20" s="1"/>
  <c r="AZ24" i="20" s="1"/>
  <c r="AX29" i="17" l="1"/>
  <c r="AX38" i="17" s="1"/>
  <c r="AX42" i="17" s="1"/>
  <c r="AX43" i="17" s="1"/>
  <c r="AX44" i="17" s="1"/>
  <c r="AX46" i="17" s="1"/>
  <c r="AX54" i="17" s="1"/>
  <c r="AY20" i="20"/>
  <c r="AZ17" i="20"/>
  <c r="AY19" i="20"/>
  <c r="AW55" i="17"/>
  <c r="AW56" i="17"/>
  <c r="AW57" i="17" s="1"/>
  <c r="AY10" i="17"/>
  <c r="AY15" i="17" s="1"/>
  <c r="AY24" i="17" s="1"/>
  <c r="AZ9" i="17"/>
  <c r="AW19" i="17"/>
  <c r="AW20" i="17"/>
  <c r="AV55" i="20"/>
  <c r="AV56" i="20"/>
  <c r="AV57" i="20" s="1"/>
  <c r="AX17" i="17"/>
  <c r="AZ18" i="20"/>
  <c r="AZ20" i="20" s="1"/>
  <c r="BA12" i="20"/>
  <c r="AZ16" i="20"/>
  <c r="AY28" i="17"/>
  <c r="AY26" i="17"/>
  <c r="H73" i="17"/>
  <c r="G21" i="12"/>
  <c r="AZ18" i="17"/>
  <c r="BA12" i="17"/>
  <c r="AZ16" i="17"/>
  <c r="AY26" i="20"/>
  <c r="AY28" i="20"/>
  <c r="AW56" i="20"/>
  <c r="AW57" i="20" s="1"/>
  <c r="AW55" i="20"/>
  <c r="BA10" i="20"/>
  <c r="BA15" i="20" s="1"/>
  <c r="BA24" i="20" s="1"/>
  <c r="BB9" i="20"/>
  <c r="AX29" i="20"/>
  <c r="AX38" i="20" s="1"/>
  <c r="AX42" i="20" s="1"/>
  <c r="AY29" i="17" l="1"/>
  <c r="AY38" i="17" s="1"/>
  <c r="AY42" i="17" s="1"/>
  <c r="AY43" i="17" s="1"/>
  <c r="AY44" i="17" s="1"/>
  <c r="AY46" i="17" s="1"/>
  <c r="AY54" i="17" s="1"/>
  <c r="AY29" i="20"/>
  <c r="AY38" i="20" s="1"/>
  <c r="AY42" i="20" s="1"/>
  <c r="AY43" i="20" s="1"/>
  <c r="AY44" i="20" s="1"/>
  <c r="AY46" i="20" s="1"/>
  <c r="AY54" i="20" s="1"/>
  <c r="AX56" i="17"/>
  <c r="AX57" i="17" s="1"/>
  <c r="AX55" i="17"/>
  <c r="AY17" i="17"/>
  <c r="BA18" i="20"/>
  <c r="BB12" i="20"/>
  <c r="BA16" i="20"/>
  <c r="AX19" i="17"/>
  <c r="AX20" i="17"/>
  <c r="BA18" i="17"/>
  <c r="BB12" i="17"/>
  <c r="BA16" i="17"/>
  <c r="AZ26" i="17"/>
  <c r="AZ28" i="17"/>
  <c r="BA17" i="20"/>
  <c r="AX43" i="20"/>
  <c r="AX44" i="20" s="1"/>
  <c r="AX46" i="20" s="1"/>
  <c r="AX54" i="20" s="1"/>
  <c r="BC9" i="20"/>
  <c r="BB10" i="20"/>
  <c r="BB15" i="20" s="1"/>
  <c r="BB24" i="20" s="1"/>
  <c r="AZ28" i="20"/>
  <c r="AZ26" i="20"/>
  <c r="AZ10" i="17"/>
  <c r="AZ15" i="17" s="1"/>
  <c r="AZ24" i="17" s="1"/>
  <c r="BA9" i="17"/>
  <c r="AZ19" i="20"/>
  <c r="AZ29" i="20" l="1"/>
  <c r="AZ38" i="20" s="1"/>
  <c r="AZ42" i="20" s="1"/>
  <c r="AZ43" i="20" s="1"/>
  <c r="AZ44" i="20" s="1"/>
  <c r="AZ46" i="20" s="1"/>
  <c r="AZ54" i="20" s="1"/>
  <c r="AZ29" i="17"/>
  <c r="AZ38" i="17" s="1"/>
  <c r="AZ42" i="17" s="1"/>
  <c r="AZ43" i="17" s="1"/>
  <c r="AZ44" i="17" s="1"/>
  <c r="AZ46" i="17" s="1"/>
  <c r="AZ54" i="17" s="1"/>
  <c r="BA20" i="20"/>
  <c r="AX56" i="20"/>
  <c r="AX57" i="20" s="1"/>
  <c r="AX55" i="20"/>
  <c r="AY55" i="20"/>
  <c r="AY56" i="20"/>
  <c r="AY57" i="20" s="1"/>
  <c r="AY55" i="17"/>
  <c r="AY56" i="17"/>
  <c r="AY57" i="17" s="1"/>
  <c r="BA28" i="20"/>
  <c r="BA26" i="20"/>
  <c r="BC12" i="20"/>
  <c r="BB18" i="20"/>
  <c r="BB16" i="20"/>
  <c r="BA26" i="17"/>
  <c r="BA28" i="17"/>
  <c r="AY19" i="17"/>
  <c r="AY20" i="17"/>
  <c r="BD9" i="20"/>
  <c r="BC10" i="20"/>
  <c r="BC15" i="20" s="1"/>
  <c r="BC24" i="20" s="1"/>
  <c r="AZ17" i="17"/>
  <c r="BA10" i="17"/>
  <c r="BA15" i="17" s="1"/>
  <c r="BA24" i="17" s="1"/>
  <c r="BB9" i="17"/>
  <c r="BB18" i="17"/>
  <c r="BC12" i="17"/>
  <c r="BB16" i="17"/>
  <c r="BB17" i="20"/>
  <c r="BA19" i="20"/>
  <c r="BA29" i="17" l="1"/>
  <c r="BA38" i="17" s="1"/>
  <c r="BA42" i="17" s="1"/>
  <c r="BA43" i="17" s="1"/>
  <c r="BA44" i="17" s="1"/>
  <c r="BA46" i="17" s="1"/>
  <c r="BA54" i="17" s="1"/>
  <c r="BB19" i="20"/>
  <c r="AZ56" i="17"/>
  <c r="AZ57" i="17" s="1"/>
  <c r="AZ55" i="17"/>
  <c r="BA29" i="20"/>
  <c r="BA38" i="20" s="1"/>
  <c r="BA42" i="20" s="1"/>
  <c r="BB26" i="17"/>
  <c r="BB28" i="17"/>
  <c r="BD12" i="17"/>
  <c r="BC18" i="17"/>
  <c r="BC16" i="17"/>
  <c r="AZ19" i="17"/>
  <c r="AZ20" i="17"/>
  <c r="BE9" i="20"/>
  <c r="BD10" i="20"/>
  <c r="BD15" i="20" s="1"/>
  <c r="BD24" i="20" s="1"/>
  <c r="BB28" i="20"/>
  <c r="BB26" i="20"/>
  <c r="BC17" i="20"/>
  <c r="BB20" i="20"/>
  <c r="BA17" i="17"/>
  <c r="AZ55" i="20"/>
  <c r="AZ56" i="20"/>
  <c r="AZ57" i="20" s="1"/>
  <c r="BC9" i="17"/>
  <c r="BB10" i="17"/>
  <c r="BB15" i="17" s="1"/>
  <c r="BB24" i="17" s="1"/>
  <c r="BB29" i="17" s="1"/>
  <c r="BB38" i="17" s="1"/>
  <c r="BB42" i="17" s="1"/>
  <c r="BD12" i="20"/>
  <c r="BC18" i="20"/>
  <c r="BC16" i="20"/>
  <c r="BC20" i="20" l="1"/>
  <c r="BA55" i="17"/>
  <c r="BA56" i="17"/>
  <c r="BA57" i="17" s="1"/>
  <c r="BE10" i="20"/>
  <c r="BE15" i="20" s="1"/>
  <c r="BA19" i="17"/>
  <c r="BA20" i="17"/>
  <c r="BD17" i="20"/>
  <c r="BC19" i="20"/>
  <c r="BB43" i="17"/>
  <c r="BB44" i="17" s="1"/>
  <c r="BB46" i="17" s="1"/>
  <c r="BB54" i="17" s="1"/>
  <c r="BE12" i="17"/>
  <c r="BD18" i="17"/>
  <c r="BD16" i="17"/>
  <c r="BA43" i="20"/>
  <c r="BA44" i="20" s="1"/>
  <c r="BA46" i="20" s="1"/>
  <c r="BA54" i="20" s="1"/>
  <c r="BD18" i="20"/>
  <c r="BE12" i="20"/>
  <c r="BD16" i="20"/>
  <c r="BC10" i="17"/>
  <c r="BC15" i="17" s="1"/>
  <c r="BC24" i="17" s="1"/>
  <c r="BD9" i="17"/>
  <c r="BB29" i="20"/>
  <c r="BB38" i="20" s="1"/>
  <c r="BB42" i="20" s="1"/>
  <c r="BC28" i="17"/>
  <c r="BC26" i="17"/>
  <c r="BC26" i="20"/>
  <c r="BC28" i="20"/>
  <c r="BB17" i="17"/>
  <c r="BC29" i="17" l="1"/>
  <c r="BC38" i="17" s="1"/>
  <c r="BC42" i="17" s="1"/>
  <c r="BC43" i="17" s="1"/>
  <c r="BC44" i="17" s="1"/>
  <c r="BC46" i="17" s="1"/>
  <c r="BC54" i="17" s="1"/>
  <c r="BD19" i="20"/>
  <c r="BC29" i="20"/>
  <c r="BC38" i="20" s="1"/>
  <c r="BC42" i="20" s="1"/>
  <c r="BC43" i="20" s="1"/>
  <c r="BC44" i="20" s="1"/>
  <c r="BC46" i="20" s="1"/>
  <c r="BC54" i="20" s="1"/>
  <c r="BB56" i="17"/>
  <c r="BB57" i="17" s="1"/>
  <c r="BB55" i="17"/>
  <c r="BA56" i="20"/>
  <c r="BA57" i="20" s="1"/>
  <c r="BA55" i="20"/>
  <c r="BB43" i="20"/>
  <c r="BB44" i="20" s="1"/>
  <c r="BB46" i="20" s="1"/>
  <c r="BB54" i="20" s="1"/>
  <c r="BD28" i="17"/>
  <c r="BD26" i="17"/>
  <c r="BE24" i="20"/>
  <c r="I70" i="20"/>
  <c r="H33" i="18" s="1"/>
  <c r="I66" i="20"/>
  <c r="H30" i="18" s="1"/>
  <c r="BB19" i="17"/>
  <c r="BB20" i="17"/>
  <c r="BC17" i="17"/>
  <c r="BE18" i="17"/>
  <c r="BE16" i="17"/>
  <c r="BE17" i="20"/>
  <c r="BD28" i="20"/>
  <c r="BD26" i="20"/>
  <c r="BE18" i="20"/>
  <c r="BE16" i="20"/>
  <c r="BE9" i="17"/>
  <c r="BD10" i="17"/>
  <c r="BD15" i="17" s="1"/>
  <c r="BD24" i="17" s="1"/>
  <c r="BD20" i="20"/>
  <c r="BE20" i="20" l="1"/>
  <c r="BD29" i="17"/>
  <c r="BD38" i="17" s="1"/>
  <c r="BD42" i="17" s="1"/>
  <c r="BD43" i="17" s="1"/>
  <c r="BD44" i="17" s="1"/>
  <c r="BD46" i="17" s="1"/>
  <c r="BD54" i="17" s="1"/>
  <c r="BE19" i="20"/>
  <c r="BB56" i="20"/>
  <c r="BB57" i="20" s="1"/>
  <c r="BB55" i="20"/>
  <c r="BC55" i="20"/>
  <c r="BC56" i="20"/>
  <c r="BC57" i="20" s="1"/>
  <c r="BC55" i="17"/>
  <c r="BC56" i="17"/>
  <c r="BC57" i="17" s="1"/>
  <c r="BD17" i="17"/>
  <c r="BC19" i="17"/>
  <c r="BC20" i="17"/>
  <c r="BD29" i="20"/>
  <c r="BD38" i="20" s="1"/>
  <c r="BD42" i="20" s="1"/>
  <c r="BE28" i="20"/>
  <c r="BE26" i="20"/>
  <c r="I67" i="20"/>
  <c r="H31" i="18" s="1"/>
  <c r="I71" i="20"/>
  <c r="H34" i="18" s="1"/>
  <c r="BE10" i="17"/>
  <c r="BE15" i="17" s="1"/>
  <c r="BE26" i="17"/>
  <c r="BE28" i="17"/>
  <c r="I71" i="17"/>
  <c r="H34" i="12" s="1"/>
  <c r="I67" i="17"/>
  <c r="H31" i="12" s="1"/>
  <c r="BE29" i="20" l="1"/>
  <c r="BE38" i="20" s="1"/>
  <c r="BE42" i="20" s="1"/>
  <c r="BE43" i="20" s="1"/>
  <c r="BE44" i="20" s="1"/>
  <c r="BE46" i="20" s="1"/>
  <c r="BE54" i="20" s="1"/>
  <c r="BD55" i="17"/>
  <c r="BD56" i="17"/>
  <c r="BD57" i="17" s="1"/>
  <c r="BD19" i="17"/>
  <c r="BD20" i="17"/>
  <c r="BD43" i="20"/>
  <c r="BD44" i="20" s="1"/>
  <c r="BD46" i="20" s="1"/>
  <c r="BD54" i="20" s="1"/>
  <c r="BE24" i="17"/>
  <c r="BE29" i="17" s="1"/>
  <c r="BE38" i="17" s="1"/>
  <c r="BE42" i="17" s="1"/>
  <c r="I66" i="17"/>
  <c r="H30" i="12" s="1"/>
  <c r="I70" i="17"/>
  <c r="H33" i="12" s="1"/>
  <c r="BE17" i="17"/>
  <c r="BE56" i="20" l="1"/>
  <c r="BE57" i="20" s="1"/>
  <c r="BE55" i="20"/>
  <c r="BE19" i="17"/>
  <c r="BE20" i="17"/>
  <c r="BD56" i="20"/>
  <c r="BD57" i="20" s="1"/>
  <c r="BD55" i="20"/>
  <c r="BE43" i="17"/>
  <c r="BE44" i="17" s="1"/>
  <c r="BE46" i="17" s="1"/>
  <c r="BE54" i="17" s="1"/>
  <c r="BE55" i="17" l="1"/>
  <c r="I61" i="17" s="1"/>
  <c r="BE56" i="17"/>
  <c r="BE57" i="17" s="1"/>
  <c r="I62" i="17" s="1"/>
  <c r="H22" i="12" s="1"/>
  <c r="I61" i="20"/>
  <c r="I62" i="20"/>
  <c r="H22" i="18" s="1"/>
  <c r="I74" i="20" l="1"/>
  <c r="H21" i="18"/>
  <c r="H21" i="12"/>
  <c r="I73" i="1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<sst xmlns="http://schemas.openxmlformats.org/spreadsheetml/2006/main" count="614" uniqueCount="326">
  <si>
    <t>Zürich</t>
  </si>
  <si>
    <t>a</t>
  </si>
  <si>
    <t>seconds</t>
  </si>
  <si>
    <t>weeks</t>
  </si>
  <si>
    <t>m</t>
  </si>
  <si>
    <t>K</t>
  </si>
  <si>
    <t>K/m</t>
  </si>
  <si>
    <t xml:space="preserve">Examples of numbers used in CH for drilling deep wells </t>
  </si>
  <si>
    <t>Depth (AHD or TVD)</t>
  </si>
  <si>
    <t>Cost</t>
  </si>
  <si>
    <t>Other costs</t>
  </si>
  <si>
    <t>Riehen</t>
  </si>
  <si>
    <t>CHF mln</t>
  </si>
  <si>
    <t>well pad Riehen</t>
  </si>
  <si>
    <t>in</t>
  </si>
  <si>
    <t>mln</t>
  </si>
  <si>
    <t>2 wells in Riehen planned</t>
  </si>
  <si>
    <t>GEL</t>
  </si>
  <si>
    <t>Basel</t>
  </si>
  <si>
    <t>2 wells in Riehen actual</t>
  </si>
  <si>
    <t>PU and MA at Neuchâtel</t>
  </si>
  <si>
    <t>Paris Basin</t>
  </si>
  <si>
    <t>Noville Gas Well 2009/10</t>
  </si>
  <si>
    <t>Lac Leman</t>
  </si>
  <si>
    <t>MSc Thesis TU Clausthal</t>
  </si>
  <si>
    <t>St Gallen / Risikogarantie</t>
  </si>
  <si>
    <t>Haute-Sorne / EnV Explorationsbeitrag</t>
  </si>
  <si>
    <t>Lavey-les-Bains / EnV Explorationsbeitrag</t>
  </si>
  <si>
    <t>Energeo - La Cote / CO2-V Erschliessungsbeitrag</t>
  </si>
  <si>
    <t>System capacity</t>
  </si>
  <si>
    <t>kg/s</t>
  </si>
  <si>
    <t>CHF/GJ</t>
  </si>
  <si>
    <t>Total</t>
  </si>
  <si>
    <t>Reject fluid temperature</t>
  </si>
  <si>
    <t>Conversion efficiency</t>
  </si>
  <si>
    <t>Rp./kWh</t>
  </si>
  <si>
    <t>per year</t>
  </si>
  <si>
    <t>Interest</t>
  </si>
  <si>
    <t>Capex</t>
  </si>
  <si>
    <t>Technical parameters</t>
  </si>
  <si>
    <t>Length of horizontal lateral</t>
  </si>
  <si>
    <t>kg⋅s− 1</t>
  </si>
  <si>
    <t>J⋅kg− 1⋅K− 1</t>
  </si>
  <si>
    <t>W⋅m− 1⋅K− 1</t>
  </si>
  <si>
    <t>Support tool for a preliminary techno-economic feasibility analysis</t>
  </si>
  <si>
    <t>October 2022</t>
  </si>
  <si>
    <t>conim ag has developed this Excel workbook on behalf of the Swiss Federal Office of Energy.</t>
  </si>
  <si>
    <t>Instructions</t>
  </si>
  <si>
    <t>CHF</t>
  </si>
  <si>
    <t xml:space="preserve">CHF </t>
  </si>
  <si>
    <t>Summary of the project data</t>
  </si>
  <si>
    <t>This table is generated automatically when data is entered</t>
  </si>
  <si>
    <t>°C</t>
  </si>
  <si>
    <t>Cells marked in yellow must be filled in.</t>
  </si>
  <si>
    <t>Comments</t>
  </si>
  <si>
    <t>Project specifics</t>
  </si>
  <si>
    <t>Ramey equation 1</t>
  </si>
  <si>
    <t>T(z, t) = b + az − aA + [To + aA − b]e(− z/A)</t>
  </si>
  <si>
    <t>Temperature estimation - Step 1: Injection to depth</t>
  </si>
  <si>
    <t>First section of the U-shape (descent)</t>
  </si>
  <si>
    <t>Where:</t>
  </si>
  <si>
    <r>
      <rPr>
        <b/>
        <sz val="11"/>
        <color theme="1"/>
        <rFont val="Calibri Light"/>
        <family val="2"/>
        <scheme val="major"/>
      </rPr>
      <t>z</t>
    </r>
    <r>
      <rPr>
        <sz val="11"/>
        <color theme="1"/>
        <rFont val="Calibri Light"/>
        <family val="2"/>
        <scheme val="major"/>
      </rPr>
      <t xml:space="preserve"> = True Vertical Depth</t>
    </r>
  </si>
  <si>
    <r>
      <rPr>
        <b/>
        <sz val="11"/>
        <color theme="1"/>
        <rFont val="Calibri Light"/>
        <family val="2"/>
        <scheme val="major"/>
      </rPr>
      <t xml:space="preserve">b </t>
    </r>
    <r>
      <rPr>
        <sz val="11"/>
        <color theme="1"/>
        <rFont val="Calibri Light"/>
        <family val="2"/>
        <scheme val="major"/>
      </rPr>
      <t xml:space="preserve">= Surface geothermal/rock temperature </t>
    </r>
  </si>
  <si>
    <r>
      <rPr>
        <b/>
        <sz val="11"/>
        <color theme="1"/>
        <rFont val="Calibri Light"/>
        <family val="2"/>
        <scheme val="major"/>
      </rPr>
      <t>a</t>
    </r>
    <r>
      <rPr>
        <sz val="11"/>
        <color theme="1"/>
        <rFont val="Calibri Light"/>
        <family val="2"/>
        <scheme val="major"/>
      </rPr>
      <t xml:space="preserve"> = Geothermal gradient</t>
    </r>
  </si>
  <si>
    <r>
      <rPr>
        <b/>
        <sz val="11"/>
        <color theme="1"/>
        <rFont val="Calibri Light"/>
        <family val="2"/>
        <scheme val="major"/>
      </rPr>
      <t>To</t>
    </r>
    <r>
      <rPr>
        <sz val="11"/>
        <color theme="1"/>
        <rFont val="Calibri Light"/>
        <family val="2"/>
        <scheme val="major"/>
      </rPr>
      <t xml:space="preserve"> = Fluid inlet temperature at injection wellhead</t>
    </r>
  </si>
  <si>
    <t>Where</t>
  </si>
  <si>
    <r>
      <rPr>
        <b/>
        <sz val="11"/>
        <color theme="1"/>
        <rFont val="Calibri Light"/>
        <family val="2"/>
        <scheme val="major"/>
      </rPr>
      <t>m*</t>
    </r>
    <r>
      <rPr>
        <sz val="11"/>
        <color theme="1"/>
        <rFont val="Calibri Light"/>
        <family val="2"/>
        <scheme val="major"/>
      </rPr>
      <t xml:space="preserve"> = Mass flow rate of fluid in the well </t>
    </r>
  </si>
  <si>
    <r>
      <rPr>
        <b/>
        <sz val="11"/>
        <color theme="1"/>
        <rFont val="Calibri Light"/>
        <family val="2"/>
        <scheme val="major"/>
      </rPr>
      <t>Cp,f</t>
    </r>
    <r>
      <rPr>
        <sz val="11"/>
        <color theme="1"/>
        <rFont val="Calibri Light"/>
        <family val="2"/>
        <scheme val="major"/>
      </rPr>
      <t xml:space="preserve"> = Fluid specific heat capacity at constant pressure </t>
    </r>
  </si>
  <si>
    <r>
      <rPr>
        <b/>
        <sz val="11"/>
        <color theme="1"/>
        <rFont val="Calibri Light"/>
        <family val="2"/>
        <scheme val="major"/>
      </rPr>
      <t>kr</t>
    </r>
    <r>
      <rPr>
        <sz val="11"/>
        <color theme="1"/>
        <rFont val="Calibri Light"/>
        <family val="2"/>
        <scheme val="major"/>
      </rPr>
      <t xml:space="preserve"> = Rock thermal conductivity</t>
    </r>
  </si>
  <si>
    <r>
      <rPr>
        <b/>
        <sz val="11"/>
        <color theme="1"/>
        <rFont val="Calibri Light"/>
        <family val="2"/>
        <scheme val="major"/>
      </rPr>
      <t>r_co</t>
    </r>
    <r>
      <rPr>
        <sz val="11"/>
        <color theme="1"/>
        <rFont val="Calibri Light"/>
        <family val="2"/>
        <scheme val="major"/>
      </rPr>
      <t xml:space="preserve"> = Casing/tubing outer diameter </t>
    </r>
  </si>
  <si>
    <r>
      <rPr>
        <b/>
        <sz val="11"/>
        <color theme="1"/>
        <rFont val="Calibri Light"/>
        <family val="2"/>
        <scheme val="major"/>
      </rPr>
      <t>A</t>
    </r>
    <r>
      <rPr>
        <sz val="11"/>
        <color theme="1"/>
        <rFont val="Calibri Light"/>
        <family val="2"/>
        <scheme val="major"/>
      </rPr>
      <t xml:space="preserve"> = m* Cp,f f(t)/2πkr </t>
    </r>
  </si>
  <si>
    <t>Simplified assumption (Ramey equation 2A), where thermal resistance in the wellbore is negligible (e.g., water in liquid phase in geothermal wells without insulated tubing). See main report for details.</t>
  </si>
  <si>
    <r>
      <rPr>
        <b/>
        <sz val="11"/>
        <color theme="1"/>
        <rFont val="Calibri Light"/>
        <family val="2"/>
        <scheme val="major"/>
      </rPr>
      <t>f(t)</t>
    </r>
    <r>
      <rPr>
        <sz val="11"/>
        <color theme="1"/>
        <rFont val="Calibri Light"/>
        <family val="2"/>
        <scheme val="major"/>
      </rPr>
      <t xml:space="preserve"> = </t>
    </r>
    <r>
      <rPr>
        <i/>
        <sz val="11"/>
        <color theme="1"/>
        <rFont val="Calibri Light"/>
        <family val="2"/>
        <scheme val="major"/>
      </rPr>
      <t>see below</t>
    </r>
  </si>
  <si>
    <t xml:space="preserve">Simplified assumption (Ramey equation 5).At long enough time scales (i.e., typically after a week), f(t) can be estimated assuming an infinite constant heat flux line source. </t>
  </si>
  <si>
    <t>m2 s-1</t>
  </si>
  <si>
    <r>
      <rPr>
        <b/>
        <sz val="11"/>
        <color theme="1"/>
        <rFont val="Calibri Light"/>
        <family val="2"/>
        <scheme val="major"/>
      </rPr>
      <t xml:space="preserve">f(t) </t>
    </r>
    <r>
      <rPr>
        <sz val="11"/>
        <color theme="1"/>
        <rFont val="Calibri Light"/>
        <family val="2"/>
        <scheme val="major"/>
      </rPr>
      <t>= − ln(r</t>
    </r>
    <r>
      <rPr>
        <vertAlign val="subscript"/>
        <sz val="11"/>
        <color theme="1"/>
        <rFont val="Calibri Light"/>
        <family val="2"/>
        <scheme val="major"/>
      </rPr>
      <t>co</t>
    </r>
    <r>
      <rPr>
        <sz val="11"/>
        <color theme="1"/>
        <rFont val="Calibri Light"/>
        <family val="2"/>
        <scheme val="major"/>
      </rPr>
      <t>/ 2*SQRT[α</t>
    </r>
    <r>
      <rPr>
        <vertAlign val="subscript"/>
        <sz val="11"/>
        <color theme="1"/>
        <rFont val="Calibri Light"/>
        <family val="2"/>
        <scheme val="major"/>
      </rPr>
      <t>r</t>
    </r>
    <r>
      <rPr>
        <sz val="11"/>
        <color theme="1"/>
        <rFont val="Calibri Light"/>
        <family val="2"/>
        <scheme val="major"/>
      </rPr>
      <t>t]) − 0.29</t>
    </r>
  </si>
  <si>
    <r>
      <rPr>
        <b/>
        <sz val="11"/>
        <color theme="1"/>
        <rFont val="Calibri Light"/>
        <family val="2"/>
        <scheme val="major"/>
      </rPr>
      <t>α</t>
    </r>
    <r>
      <rPr>
        <b/>
        <vertAlign val="subscript"/>
        <sz val="11"/>
        <color theme="1"/>
        <rFont val="Calibri Light"/>
        <family val="2"/>
        <scheme val="major"/>
      </rPr>
      <t>r</t>
    </r>
    <r>
      <rPr>
        <b/>
        <sz val="11"/>
        <color theme="1"/>
        <rFont val="Calibri Light"/>
        <family val="2"/>
        <scheme val="major"/>
      </rPr>
      <t xml:space="preserve"> </t>
    </r>
    <r>
      <rPr>
        <sz val="11"/>
        <color theme="1"/>
        <rFont val="Calibri Light"/>
        <family val="2"/>
        <scheme val="major"/>
      </rPr>
      <t>= rock thermal diffusivity</t>
    </r>
  </si>
  <si>
    <t>Weeks</t>
  </si>
  <si>
    <t>Temperature estimation - Step 2: Horizontal well heat extraction</t>
  </si>
  <si>
    <t>Second section of the U-shape (horizontal)</t>
  </si>
  <si>
    <t>T(x, t) = b + ax − aA + [To + aA − b]e(− x/A)</t>
  </si>
  <si>
    <r>
      <rPr>
        <b/>
        <sz val="11"/>
        <color theme="1"/>
        <rFont val="Calibri Light"/>
        <family val="2"/>
        <scheme val="major"/>
      </rPr>
      <t>x</t>
    </r>
    <r>
      <rPr>
        <sz val="11"/>
        <color theme="1"/>
        <rFont val="Calibri Light"/>
        <family val="2"/>
        <scheme val="major"/>
      </rPr>
      <t xml:space="preserve"> = Length of horizontal lateral</t>
    </r>
  </si>
  <si>
    <r>
      <rPr>
        <b/>
        <sz val="11"/>
        <color theme="1"/>
        <rFont val="Calibri Light"/>
        <family val="2"/>
        <scheme val="major"/>
      </rPr>
      <t xml:space="preserve">b </t>
    </r>
    <r>
      <rPr>
        <sz val="11"/>
        <color theme="1"/>
        <rFont val="Calibri Light"/>
        <family val="2"/>
        <scheme val="major"/>
      </rPr>
      <t>= Geothermal/rock temperature</t>
    </r>
  </si>
  <si>
    <t>assuming a constant formation temperature along the horizontal section of the well</t>
  </si>
  <si>
    <r>
      <rPr>
        <b/>
        <sz val="11"/>
        <color theme="1"/>
        <rFont val="Calibri Light"/>
        <family val="2"/>
        <scheme val="major"/>
      </rPr>
      <t>To</t>
    </r>
    <r>
      <rPr>
        <sz val="11"/>
        <color theme="1"/>
        <rFont val="Calibri Light"/>
        <family val="2"/>
        <scheme val="major"/>
      </rPr>
      <t xml:space="preserve"> = Fluid temperature at the start of the horizontal section</t>
    </r>
  </si>
  <si>
    <t>Temperature estimation - Step 3: Production to surface</t>
  </si>
  <si>
    <t>Third section of the U-shape (ascent)</t>
  </si>
  <si>
    <t>time</t>
  </si>
  <si>
    <r>
      <rPr>
        <b/>
        <sz val="11"/>
        <color theme="1"/>
        <rFont val="Calibri Light"/>
        <family val="2"/>
        <scheme val="major"/>
      </rPr>
      <t>t</t>
    </r>
    <r>
      <rPr>
        <sz val="11"/>
        <color theme="1"/>
        <rFont val="Calibri Light"/>
        <family val="2"/>
        <scheme val="major"/>
      </rPr>
      <t xml:space="preserve"> =  time in seconds</t>
    </r>
  </si>
  <si>
    <t>Same depth as step 1</t>
  </si>
  <si>
    <t>Same as step 1</t>
  </si>
  <si>
    <t>Negative (ascent)</t>
  </si>
  <si>
    <r>
      <rPr>
        <vertAlign val="superscript"/>
        <sz val="11"/>
        <color theme="1"/>
        <rFont val="Calibri Light"/>
        <family val="2"/>
        <scheme val="major"/>
      </rPr>
      <t xml:space="preserve">1 </t>
    </r>
    <r>
      <rPr>
        <sz val="9"/>
        <color theme="1"/>
        <rFont val="Calibri Light"/>
        <family val="2"/>
        <scheme val="major"/>
      </rPr>
      <t>Rough calculations in this part of the "U-shaped" loop suggest that unless the production well is completed with vacuum (or other) insulated tubing, the heat loss during the ascent of the heat transfer fluid to surface is large and likely to be prohibitive. Hence, it is assumed that the production string is completed with vacuum insulated tubing</t>
    </r>
  </si>
  <si>
    <t>Technical parameters: Temperature</t>
  </si>
  <si>
    <t>Technical parameters: Production</t>
  </si>
  <si>
    <r>
      <t>MW</t>
    </r>
    <r>
      <rPr>
        <vertAlign val="subscript"/>
        <sz val="9"/>
        <color theme="1"/>
        <rFont val="Calibri Light"/>
        <family val="2"/>
        <scheme val="major"/>
      </rPr>
      <t xml:space="preserve">el </t>
    </r>
  </si>
  <si>
    <r>
      <t>MW</t>
    </r>
    <r>
      <rPr>
        <vertAlign val="subscript"/>
        <sz val="9"/>
        <color theme="1"/>
        <rFont val="Calibri Light"/>
        <family val="2"/>
        <scheme val="major"/>
      </rPr>
      <t>th</t>
    </r>
  </si>
  <si>
    <t>If C6 is "Only heat" equals "Technical parameters TEMP" cell C53, converted in °C, otherwise C11</t>
  </si>
  <si>
    <t>Technical assumptions: Reservoir</t>
  </si>
  <si>
    <t>Decrease in annual performance</t>
  </si>
  <si>
    <t>°C/year</t>
  </si>
  <si>
    <t>Economic parameters</t>
  </si>
  <si>
    <t>EBITDA</t>
  </si>
  <si>
    <t>EBT</t>
  </si>
  <si>
    <t>Operating Cash Flow</t>
  </si>
  <si>
    <t>Total Capex</t>
  </si>
  <si>
    <t xml:space="preserve">Real Free Cash Flow </t>
  </si>
  <si>
    <t>Real Discounted Free Cash Flow</t>
  </si>
  <si>
    <t xml:space="preserve">Nominal Free Cash Flow </t>
  </si>
  <si>
    <t>Nominal Discounted Free Cash Flow</t>
  </si>
  <si>
    <t>If applicable according to Cell C6 sheet Technical parameters PROD</t>
  </si>
  <si>
    <t>Operating hours electricity production</t>
  </si>
  <si>
    <t>Operating hours heat production</t>
  </si>
  <si>
    <t>Hours/year</t>
  </si>
  <si>
    <t>Expected plant lifetime</t>
  </si>
  <si>
    <t>Years</t>
  </si>
  <si>
    <t>Depreciation period</t>
  </si>
  <si>
    <t>of Capex</t>
  </si>
  <si>
    <t>Operations</t>
  </si>
  <si>
    <t>Financing</t>
  </si>
  <si>
    <t>Investment</t>
  </si>
  <si>
    <t>Year 1</t>
  </si>
  <si>
    <t>Year 2</t>
  </si>
  <si>
    <t>Year 3</t>
  </si>
  <si>
    <t>Total investments power plant (surface)</t>
  </si>
  <si>
    <t>Breakdown of Capex power plant (surface) per year</t>
  </si>
  <si>
    <t xml:space="preserve">Opex </t>
  </si>
  <si>
    <t>Annual inflation</t>
  </si>
  <si>
    <t>Tax rate</t>
  </si>
  <si>
    <t>of EBT</t>
  </si>
  <si>
    <t>WACC, weighted average cost of capital*</t>
  </si>
  <si>
    <t>https://www.admin.ch/gov/de/start/dokumentation/medienmitteilungen.msg-id-87407.html</t>
  </si>
  <si>
    <t xml:space="preserve">*Corresponds to the WACC for support instruments for renewable energies for 2022 as determined by DETEC: </t>
  </si>
  <si>
    <t>Cash-Flow Model</t>
  </si>
  <si>
    <t>Project year</t>
  </si>
  <si>
    <t>Year of operations</t>
  </si>
  <si>
    <r>
      <t xml:space="preserve">Opex
</t>
    </r>
    <r>
      <rPr>
        <sz val="9"/>
        <color theme="1"/>
        <rFont val="Calibri Light"/>
        <family val="2"/>
        <scheme val="major"/>
      </rPr>
      <t>(CHF)</t>
    </r>
  </si>
  <si>
    <r>
      <t xml:space="preserve">Capex
</t>
    </r>
    <r>
      <rPr>
        <sz val="9"/>
        <color theme="1"/>
        <rFont val="Calibri Light"/>
        <family val="2"/>
        <scheme val="major"/>
      </rPr>
      <t>(CHF)</t>
    </r>
  </si>
  <si>
    <r>
      <t xml:space="preserve">Free Cash Flow
</t>
    </r>
    <r>
      <rPr>
        <sz val="9"/>
        <color theme="1"/>
        <rFont val="Calibri Light"/>
        <family val="2"/>
        <scheme val="major"/>
      </rPr>
      <t xml:space="preserve">(CHF)
</t>
    </r>
    <r>
      <rPr>
        <i/>
        <sz val="9"/>
        <color theme="1"/>
        <rFont val="Calibri Light"/>
        <family val="2"/>
        <scheme val="major"/>
      </rPr>
      <t>inkl. Finanzierung Fremdkapital</t>
    </r>
  </si>
  <si>
    <t>Temperature at wellhead (°C)</t>
  </si>
  <si>
    <t>Inlet temperature power plant (°C)</t>
  </si>
  <si>
    <t>Inlet temperature heat plant (°C)</t>
  </si>
  <si>
    <t>= reinjection temperature (see Technical parameters TEMP C15)</t>
  </si>
  <si>
    <t>Produced electricity</t>
  </si>
  <si>
    <t>Produced heat</t>
  </si>
  <si>
    <t>Income from electricity</t>
  </si>
  <si>
    <t>Income from heat</t>
  </si>
  <si>
    <r>
      <rPr>
        <b/>
        <sz val="11"/>
        <color theme="1"/>
        <rFont val="Calibri Light"/>
        <family val="2"/>
        <scheme val="major"/>
      </rPr>
      <t>Income</t>
    </r>
    <r>
      <rPr>
        <sz val="11"/>
        <color theme="1"/>
        <rFont val="Calibri Light"/>
        <family val="2"/>
        <scheme val="major"/>
      </rPr>
      <t xml:space="preserve">
</t>
    </r>
    <r>
      <rPr>
        <sz val="9"/>
        <color theme="1"/>
        <rFont val="Calibri Light"/>
        <family val="2"/>
        <scheme val="major"/>
      </rPr>
      <t>(CHF)</t>
    </r>
  </si>
  <si>
    <t>Loan duration equals depreciation period</t>
  </si>
  <si>
    <t>Depreciation</t>
  </si>
  <si>
    <t>Taxes</t>
  </si>
  <si>
    <t>Profit / loss</t>
  </si>
  <si>
    <t>Geothermal source (underground)</t>
  </si>
  <si>
    <t>Power plant (surface)</t>
  </si>
  <si>
    <t>Potential subsidies (non repayable)</t>
  </si>
  <si>
    <t>20 years</t>
  </si>
  <si>
    <t>25 years</t>
  </si>
  <si>
    <t>30 years</t>
  </si>
  <si>
    <t>40 years</t>
  </si>
  <si>
    <t>50 years</t>
  </si>
  <si>
    <t>In CHF</t>
  </si>
  <si>
    <r>
      <rPr>
        <b/>
        <sz val="11"/>
        <color theme="1"/>
        <rFont val="Calibri Light"/>
        <family val="2"/>
        <scheme val="major"/>
      </rPr>
      <t xml:space="preserve">NPV Real </t>
    </r>
    <r>
      <rPr>
        <sz val="11"/>
        <color theme="1"/>
        <rFont val="Calibri Light"/>
        <family val="2"/>
        <scheme val="major"/>
      </rPr>
      <t>(without inflation)</t>
    </r>
  </si>
  <si>
    <r>
      <rPr>
        <b/>
        <sz val="11"/>
        <color theme="1"/>
        <rFont val="Calibri Light"/>
        <family val="2"/>
        <scheme val="major"/>
      </rPr>
      <t>NPV Nominal</t>
    </r>
    <r>
      <rPr>
        <sz val="11"/>
        <color theme="1"/>
        <rFont val="Calibri Light"/>
        <family val="2"/>
        <scheme val="major"/>
      </rPr>
      <t xml:space="preserve"> (with inflation)</t>
    </r>
  </si>
  <si>
    <t>Net Present Value NPV</t>
  </si>
  <si>
    <t>Total Income</t>
  </si>
  <si>
    <t>Only electricity, if applicable: Facilities (Hydraulic pipes, pumps ORC etc.), Power plant (ORC, building ORC, electrical lines) etc.</t>
  </si>
  <si>
    <t>Only heat, if applicable: Facilities (Hydraulic pipes, pumps ORC etc.), Power plant (ORC, building ORC, electrical lines) etc.</t>
  </si>
  <si>
    <t>Total investments heat plant (surface)</t>
  </si>
  <si>
    <t>Heat plant (surface)</t>
  </si>
  <si>
    <t>Only Capex  geothermal source (underground), per year, is allocated as opex over the entire expected plant lifetime</t>
  </si>
  <si>
    <t>Only Capex power plant (surface), per year, is allocated as opex over the entire expected plant lifetime</t>
  </si>
  <si>
    <t>Only Capex heat plant (surface), per year, is allocated as opex over the entire expected plant lifetime</t>
  </si>
  <si>
    <t>Total UTC</t>
  </si>
  <si>
    <t>Discounted</t>
  </si>
  <si>
    <t>Production</t>
  </si>
  <si>
    <t>System capacity (heat)</t>
  </si>
  <si>
    <t>Reservoir depth</t>
  </si>
  <si>
    <t>True Vertical Depth</t>
  </si>
  <si>
    <t>Benchmark</t>
  </si>
  <si>
    <t>Net Present Value NPV (CHF)</t>
  </si>
  <si>
    <t>Typical range: 1.3 to 5; in general between 1.8 and 3 (see Clauser, C., and E. Huenges (1995), Thermal conductivity of rocks andminerals, in Rock Physics and Phase Relations: A Handbook of PhysicalConstants, edited by T. J. Ahrens, pp. 105–126, AGU, Washington, D. C. https://doi.org/10.1029/RF003p0105 )</t>
  </si>
  <si>
    <t>If there is no insulated production tubing, this is an estimate of fluid temperature at the tubing head of the production liner</t>
  </si>
  <si>
    <r>
      <rPr>
        <b/>
        <sz val="11"/>
        <color theme="1"/>
        <rFont val="Calibri Light"/>
        <family val="2"/>
        <scheme val="major"/>
      </rPr>
      <t>To</t>
    </r>
    <r>
      <rPr>
        <sz val="11"/>
        <color theme="1"/>
        <rFont val="Calibri Light"/>
        <family val="2"/>
        <scheme val="major"/>
      </rPr>
      <t xml:space="preserve"> = Fluid inlet temperature at the base of the production tubing at depth</t>
    </r>
  </si>
  <si>
    <t>is the estimated fluid temperature at the bottom of the well at  true vertical depth (TVD) in the injection leg</t>
  </si>
  <si>
    <t>is the estimated fluid temperature at the end of the horizontal section (and assumed to be the tubing head temperature on surface with insulated production tubing)</t>
  </si>
  <si>
    <t>For example, the well is cased with 13 3/8 inch casing which has a wall thickness of 12 mm</t>
  </si>
  <si>
    <r>
      <t>Vacuum insulated tubing outer diameter</t>
    </r>
    <r>
      <rPr>
        <vertAlign val="superscript"/>
        <sz val="9"/>
        <color theme="1"/>
        <rFont val="Calibri Light"/>
        <family val="2"/>
        <scheme val="major"/>
      </rPr>
      <t>1</t>
    </r>
    <r>
      <rPr>
        <sz val="9"/>
        <color theme="1"/>
        <rFont val="Calibri Light"/>
        <family val="2"/>
        <scheme val="major"/>
      </rPr>
      <t>: for example, the well is completed with VIT of 4.5 inch diameter</t>
    </r>
  </si>
  <si>
    <t>Ideality factor (heat to power, if electricity is produced)</t>
  </si>
  <si>
    <t>Auxilliary calculations</t>
  </si>
  <si>
    <t xml:space="preserve">Auxilliary Calculations </t>
  </si>
  <si>
    <t>Experience curve for additional horizontal legs or horizontal wells drilled from the same drill pad</t>
  </si>
  <si>
    <t>Generic Relationship for Experience curve:</t>
  </si>
  <si>
    <t>Cn=C_1 n ^(-a)</t>
  </si>
  <si>
    <t>Cost of first unit of production</t>
  </si>
  <si>
    <t>C1</t>
  </si>
  <si>
    <t>Cost of the nth unit of production</t>
  </si>
  <si>
    <t>Cn</t>
  </si>
  <si>
    <t>Cumulative volume of production</t>
  </si>
  <si>
    <t>n</t>
  </si>
  <si>
    <t>Elasticity of cost with regard to output</t>
  </si>
  <si>
    <t>See http://dx.doi.org/10.1016/j.enpol.2017.02.027 and also more conceptual https://pangea.stanford.edu/ERE/pdf/IGAstandard/SGW/2017/Latimer.pdf</t>
  </si>
  <si>
    <t>And also SPE 15362 and SPE 7119</t>
  </si>
  <si>
    <t>Number of laterals</t>
  </si>
  <si>
    <t xml:space="preserve">Cost reduction due to experience (learning+innovation) on cost of next lateral </t>
  </si>
  <si>
    <t xml:space="preserve">See auxilliary calculations </t>
  </si>
  <si>
    <t>Estimate</t>
  </si>
  <si>
    <t>From Report</t>
  </si>
  <si>
    <t xml:space="preserve">Main wellbore drilled to </t>
  </si>
  <si>
    <r>
      <t>Technical assumptions: Heat generation (Range: 90</t>
    </r>
    <r>
      <rPr>
        <b/>
        <vertAlign val="superscript"/>
        <sz val="11"/>
        <color theme="1"/>
        <rFont val="Calibri Light"/>
        <family val="2"/>
        <scheme val="major"/>
      </rPr>
      <t>o</t>
    </r>
    <r>
      <rPr>
        <b/>
        <sz val="11"/>
        <color theme="1"/>
        <rFont val="Calibri Light"/>
        <family val="2"/>
        <scheme val="major"/>
      </rPr>
      <t>C to reinjection temperature of 35</t>
    </r>
    <r>
      <rPr>
        <b/>
        <vertAlign val="superscript"/>
        <sz val="11"/>
        <color theme="1"/>
        <rFont val="Calibri Light"/>
        <family val="2"/>
        <scheme val="major"/>
      </rPr>
      <t>o</t>
    </r>
    <r>
      <rPr>
        <b/>
        <sz val="11"/>
        <color theme="1"/>
        <rFont val="Calibri Light"/>
        <family val="2"/>
        <scheme val="major"/>
      </rPr>
      <t>C)</t>
    </r>
  </si>
  <si>
    <r>
      <t>Technical assumptions: Power generation (if tubing head temperature of production leg is greater than 90</t>
    </r>
    <r>
      <rPr>
        <b/>
        <vertAlign val="superscript"/>
        <sz val="11"/>
        <color theme="1"/>
        <rFont val="Calibri Light"/>
        <family val="2"/>
        <scheme val="major"/>
      </rPr>
      <t>o</t>
    </r>
    <r>
      <rPr>
        <b/>
        <sz val="11"/>
        <color theme="1"/>
        <rFont val="Calibri Light"/>
        <family val="2"/>
        <scheme val="major"/>
      </rPr>
      <t>C)</t>
    </r>
  </si>
  <si>
    <t>Total expected investments carried out by the project developer</t>
  </si>
  <si>
    <t>For electricity and/or heat: total well cost is taken as proxy for total subsurface development cost</t>
  </si>
  <si>
    <t>Specific capacity cost for power plant</t>
  </si>
  <si>
    <r>
      <t>per MW</t>
    </r>
    <r>
      <rPr>
        <vertAlign val="subscript"/>
        <sz val="11"/>
        <color theme="1"/>
        <rFont val="Calibri Light"/>
        <family val="2"/>
        <scheme val="major"/>
      </rPr>
      <t>el</t>
    </r>
    <r>
      <rPr>
        <sz val="11"/>
        <color theme="1"/>
        <rFont val="Calibri Light"/>
        <family val="2"/>
        <scheme val="major"/>
      </rPr>
      <t xml:space="preserve"> </t>
    </r>
  </si>
  <si>
    <t>Surface fluid temperature for power generation</t>
  </si>
  <si>
    <t>Main bore</t>
  </si>
  <si>
    <t>Lateral wellbore of length</t>
  </si>
  <si>
    <t>TVD</t>
  </si>
  <si>
    <t>Time (in years)</t>
  </si>
  <si>
    <t>1 kg/s</t>
  </si>
  <si>
    <t>2 kg/s</t>
  </si>
  <si>
    <t>5 kg/s</t>
  </si>
  <si>
    <t>10 kg/s</t>
  </si>
  <si>
    <t>15 kg/s</t>
  </si>
  <si>
    <t>20 kg/s</t>
  </si>
  <si>
    <t>30 kg/s</t>
  </si>
  <si>
    <t>40 kg/s</t>
  </si>
  <si>
    <t>50 kg/s</t>
  </si>
  <si>
    <t xml:space="preserve">Reservoir </t>
  </si>
  <si>
    <t>Bierenriede (page 69, right hand column 9 5/8 well with contingency)</t>
  </si>
  <si>
    <t>Realized price</t>
  </si>
  <si>
    <t>Electricity (wholesale)</t>
  </si>
  <si>
    <t xml:space="preserve">Heat </t>
  </si>
  <si>
    <t>CHF/kWh</t>
  </si>
  <si>
    <t>EU - CO2 allowance</t>
  </si>
  <si>
    <t>Assume heat displaces heating oil (74 tons per TJ)</t>
  </si>
  <si>
    <t>Breakdown of Capex  geothermal source (subsurface) per year</t>
  </si>
  <si>
    <t>Total investments geothermal source (subsurface)</t>
  </si>
  <si>
    <t>Geothermal source (subsurface)</t>
  </si>
  <si>
    <t>Income from CO2 allowances</t>
  </si>
  <si>
    <r>
      <t>System Capacity (MW</t>
    </r>
    <r>
      <rPr>
        <vertAlign val="subscript"/>
        <sz val="11"/>
        <color theme="1"/>
        <rFont val="Calibri Light"/>
        <family val="2"/>
        <scheme val="major"/>
      </rPr>
      <t>el</t>
    </r>
    <r>
      <rPr>
        <sz val="11"/>
        <color theme="1"/>
        <rFont val="Calibri Light"/>
        <family val="2"/>
        <scheme val="major"/>
      </rPr>
      <t>)</t>
    </r>
  </si>
  <si>
    <r>
      <t>System Capacity (MW</t>
    </r>
    <r>
      <rPr>
        <vertAlign val="subscript"/>
        <sz val="11"/>
        <color theme="1"/>
        <rFont val="Calibri Light"/>
        <family val="2"/>
        <scheme val="major"/>
      </rPr>
      <t>th</t>
    </r>
    <r>
      <rPr>
        <sz val="11"/>
        <color theme="1"/>
        <rFont val="Calibri Light"/>
        <family val="2"/>
        <scheme val="major"/>
      </rPr>
      <t>)</t>
    </r>
  </si>
  <si>
    <t>Sales price heat (CHF/KWh)</t>
  </si>
  <si>
    <t>Sales price electricity (CHF/KWh)</t>
  </si>
  <si>
    <t>Sales price CO2 allowance (CHF/ton)</t>
  </si>
  <si>
    <t>Vorbereitung und Begleitung der Erstellung des Erfahrungsberichtes 2011 gemäss § 65 EEG (Abb. 11)</t>
  </si>
  <si>
    <t>No benchmark</t>
  </si>
  <si>
    <t>%th share</t>
  </si>
  <si>
    <t>All contents of this Excel workbook is protected and property of the authors.</t>
  </si>
  <si>
    <t>This assessment tool is a working aid for the Swiss Federal Office of Energy and interested stakeholders.</t>
  </si>
  <si>
    <t>The values, outputs and results are indicative and serve as a basis for discussion when engaging with the Swiss Federal Office of Energy.</t>
  </si>
  <si>
    <t>The cells marked in yellow are to be filled in.</t>
  </si>
  <si>
    <r>
      <t>CHF per MW</t>
    </r>
    <r>
      <rPr>
        <vertAlign val="subscript"/>
        <sz val="9"/>
        <color theme="1"/>
        <rFont val="Calibri Light"/>
        <family val="2"/>
        <scheme val="major"/>
      </rPr>
      <t>el</t>
    </r>
    <r>
      <rPr>
        <sz val="9"/>
        <color theme="1"/>
        <rFont val="Calibri Light"/>
        <family val="2"/>
        <scheme val="major"/>
      </rPr>
      <t xml:space="preserve"> installed power plant capacity</t>
    </r>
  </si>
  <si>
    <t xml:space="preserve">Total </t>
  </si>
  <si>
    <t>Info Internet: Gas well 3000 m TVD, 4000 m AHD</t>
  </si>
  <si>
    <t>Internet</t>
  </si>
  <si>
    <t>For wells (unconventional gas or pad drilling campaigns): 13%-30% (aspirational)</t>
  </si>
  <si>
    <t>Cost of mainbore (TAML) + 1st lateral</t>
  </si>
  <si>
    <t>Cost of lateral no 1 of length</t>
  </si>
  <si>
    <t>See sheet Economic parameters - E45:Q96</t>
  </si>
  <si>
    <t>Pick a snapshot after at least 1-4 weeks after onset of circulation (otherwise you violate assumptions)</t>
  </si>
  <si>
    <t>Outlet temperature heat plant</t>
  </si>
  <si>
    <t>Inlet temperature heat plant</t>
  </si>
  <si>
    <t xml:space="preserve">Cost of nth-lateral </t>
  </si>
  <si>
    <t>Cumulative cost of additional n laterals from a mainbore</t>
  </si>
  <si>
    <t>Total mass flow rate of subsurface system</t>
  </si>
  <si>
    <t xml:space="preserve">Thermal power of subsurface system </t>
  </si>
  <si>
    <t>10th year</t>
  </si>
  <si>
    <t>Heat (sold to distributor)</t>
  </si>
  <si>
    <r>
      <t>Specific capacity investment for power (CHF/kW</t>
    </r>
    <r>
      <rPr>
        <b/>
        <vertAlign val="subscript"/>
        <sz val="11"/>
        <color theme="1"/>
        <rFont val="Calibri Light"/>
        <family val="2"/>
        <scheme val="major"/>
      </rPr>
      <t>el</t>
    </r>
    <r>
      <rPr>
        <b/>
        <sz val="11"/>
        <color theme="1"/>
        <rFont val="Calibri Light"/>
        <family val="2"/>
        <scheme val="major"/>
      </rPr>
      <t>)</t>
    </r>
  </si>
  <si>
    <r>
      <t>Specific capacity investment for heat (CHF/kW</t>
    </r>
    <r>
      <rPr>
        <b/>
        <vertAlign val="subscript"/>
        <sz val="11"/>
        <color theme="1"/>
        <rFont val="Calibri Light"/>
        <family val="2"/>
        <scheme val="major"/>
      </rPr>
      <t>th</t>
    </r>
    <r>
      <rPr>
        <b/>
        <sz val="11"/>
        <color theme="1"/>
        <rFont val="Calibri Light"/>
        <family val="2"/>
        <scheme val="major"/>
      </rPr>
      <t>)</t>
    </r>
  </si>
  <si>
    <t xml:space="preserve">Specific investment cost </t>
  </si>
  <si>
    <t>Production and sales</t>
  </si>
  <si>
    <t>Heat used for electricity (TJ)</t>
  </si>
  <si>
    <t>%el share of geothermal energy</t>
  </si>
  <si>
    <t>Annual heat sales (TJ)</t>
  </si>
  <si>
    <r>
      <rPr>
        <b/>
        <sz val="11"/>
        <color theme="1"/>
        <rFont val="Calibri Light"/>
        <family val="2"/>
        <scheme val="major"/>
      </rPr>
      <t>Annual Production</t>
    </r>
    <r>
      <rPr>
        <sz val="11"/>
        <color theme="1"/>
        <rFont val="Calibri Light"/>
        <family val="2"/>
        <scheme val="major"/>
      </rPr>
      <t xml:space="preserve">
</t>
    </r>
    <r>
      <rPr>
        <sz val="9"/>
        <color theme="1"/>
        <rFont val="Calibri Light"/>
        <family val="2"/>
        <scheme val="major"/>
      </rPr>
      <t>(MWh)</t>
    </r>
  </si>
  <si>
    <t xml:space="preserve">Owing to the complexity and high degree of expert judgement involved, the authors caution users when working on the open version. </t>
  </si>
  <si>
    <t xml:space="preserve">The Swiss Federal Office has two versions of the workbook: one where formulas and other information is protected; and another version which is completely open. </t>
  </si>
  <si>
    <t>after 520 weeks or 10 years of production (see C23 in sheet Tech. Param. TEMP) and in reference to ambient temperature of 288K</t>
  </si>
  <si>
    <t>Only applicable, if electricity is sold</t>
  </si>
  <si>
    <t xml:space="preserve">= Inlet temperature into heat plant </t>
  </si>
  <si>
    <t>Total UTC of Electricity</t>
  </si>
  <si>
    <t>Total UTC of Heat</t>
  </si>
  <si>
    <t>Total Unit Technical Cost (CHF/MWh)</t>
  </si>
  <si>
    <t>Unit Technical Cost UTC (CHF/MWh)</t>
  </si>
  <si>
    <t xml:space="preserve">Production or Circulation Rate </t>
  </si>
  <si>
    <t>Total UTC Heat</t>
  </si>
  <si>
    <t>See Table 6 in GeoVision Analysis Supporting Task Force Report: Reservoir Maintenance and Development https://www.osti.gov/servlets/purl/1394062 or https://doi.org/10.2172/1394062 ; added in is the impact of experience (learning and innovation)</t>
  </si>
  <si>
    <t>Perfect world (US-type industry activity, successful R&amp;I, GeoVision)</t>
  </si>
  <si>
    <t>VIR @ WACC</t>
  </si>
  <si>
    <t>IRR @WACC</t>
  </si>
  <si>
    <t>IRR @ WACC</t>
  </si>
  <si>
    <t>Interest rate for debt (average)</t>
  </si>
  <si>
    <t>Debt (share of borrowed capital to finance the project)</t>
  </si>
  <si>
    <t>Temperature (Kelvin) at tubing head: evolution over time and fluid circulation rate</t>
  </si>
  <si>
    <t>Subsurface Unit Technical Cost (CHF/MWh)</t>
  </si>
  <si>
    <t>Subsurface UTC of Electricity</t>
  </si>
  <si>
    <t>Subsurface UTC of Heat</t>
  </si>
  <si>
    <t>Subsurface Unit Technical Cost</t>
  </si>
  <si>
    <t>Maximum temperature of circulating heat exchanger fluid</t>
  </si>
  <si>
    <t>Expected temperature after 10 years of operation (for design of surface facilities)</t>
  </si>
  <si>
    <r>
      <rPr>
        <vertAlign val="superscript"/>
        <sz val="11"/>
        <color theme="1"/>
        <rFont val="Calibri Light"/>
        <family val="2"/>
        <scheme val="major"/>
      </rPr>
      <t>o</t>
    </r>
    <r>
      <rPr>
        <sz val="11"/>
        <color theme="1"/>
        <rFont val="Calibri Light"/>
        <family val="2"/>
        <scheme val="major"/>
      </rPr>
      <t>C</t>
    </r>
  </si>
  <si>
    <r>
      <t>MW</t>
    </r>
    <r>
      <rPr>
        <vertAlign val="subscript"/>
        <sz val="11"/>
        <color theme="1"/>
        <rFont val="Calibri Light"/>
        <family val="2"/>
        <scheme val="major"/>
      </rPr>
      <t xml:space="preserve">el </t>
    </r>
  </si>
  <si>
    <r>
      <t>MW</t>
    </r>
    <r>
      <rPr>
        <vertAlign val="subscript"/>
        <sz val="11"/>
        <color theme="1"/>
        <rFont val="Calibri Light"/>
        <family val="2"/>
        <scheme val="major"/>
      </rPr>
      <t>th</t>
    </r>
  </si>
  <si>
    <t>System capacity (electricity)</t>
  </si>
  <si>
    <t>Total UTC Electricity</t>
  </si>
  <si>
    <t xml:space="preserve">Valuation of deep geothermal energy projects utilizing subsurface closed-loops 
</t>
  </si>
  <si>
    <t xml:space="preserve">Note: the final worksheets "Summary GeoVision world" and "Cash-Flow Model GeoVision" reflect cost assumptions as described in a US-American (Sandia National Labs) report which maps out a highly optimistic cost reduction path (essentially a 10-fold decrease in well cost) and scenario out to 2050. </t>
  </si>
  <si>
    <r>
      <rPr>
        <b/>
        <sz val="11"/>
        <color theme="1"/>
        <rFont val="Calibri Light"/>
        <family val="2"/>
        <scheme val="major"/>
      </rPr>
      <t>m*</t>
    </r>
    <r>
      <rPr>
        <sz val="11"/>
        <color theme="1"/>
        <rFont val="Calibri Light"/>
        <family val="2"/>
        <scheme val="major"/>
      </rPr>
      <t xml:space="preserve"> = Mass flow rate of fluid in one lateral</t>
    </r>
  </si>
  <si>
    <t>CHF per ton of CO2 offset</t>
  </si>
  <si>
    <t>Mass flow rate through one lateral</t>
  </si>
  <si>
    <t>if present</t>
  </si>
  <si>
    <t>EBITDA (Earnings before interest, taxes, depreciation and amortization)</t>
  </si>
  <si>
    <t>EBT (Earnings before taxes)</t>
  </si>
  <si>
    <t>GeoVision Report ("digitized" Figure 6 of https://doi.org/10.2172/1394062 ; specifically the large diameter, vertical open hole which is also taken as a proxy for small diameter horizontal liner)</t>
  </si>
  <si>
    <r>
      <rPr>
        <b/>
        <sz val="11"/>
        <color theme="1"/>
        <rFont val="Calibri Light"/>
        <family val="2"/>
        <scheme val="major"/>
      </rPr>
      <t>m*</t>
    </r>
    <r>
      <rPr>
        <sz val="11"/>
        <color theme="1"/>
        <rFont val="Calibri Light"/>
        <family val="2"/>
        <scheme val="major"/>
      </rPr>
      <t xml:space="preserve"> = Total mass flow rate of fluid injected</t>
    </r>
  </si>
  <si>
    <t>Unit</t>
  </si>
  <si>
    <t>Assuming a horizontal section that has been cased with an atmost 13 3/8 inch tubular.</t>
  </si>
  <si>
    <t>max. 20; if you input zero, then make sure that cell C30 in worksheet 'Technical parameters TEMP is set to zero.</t>
  </si>
  <si>
    <t>assume only one main bore large enough to produce and inject all circulating fluids</t>
  </si>
  <si>
    <t>% electricity share of geothermal energy</t>
  </si>
  <si>
    <t>% thermal share</t>
  </si>
  <si>
    <t>Reservoir-related only - this mimicks in an artificial manner a reservoir decline (handle with care - see also rows 21 and 27)</t>
  </si>
  <si>
    <t>To mimick reservoir and well management performance - this introduces in a purely artificial way a change of the inlet temperature of the power plant and thus lowers the heat available for conversion into electricity - see also row 30)</t>
  </si>
  <si>
    <t>To mimick reservoir and well management performance - this introduces in a purely artificial way a change of the inlet temperature of the heat plant and thus lowers the amount of useful heat (see also row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</si>
</sst>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2" formatCode="_ &quot;CHF&quot;\ * #,##0_ ;_ &quot;CHF&quot;\ * \-#,##0_ ;_ &quot;CHF&quot;\ * &quot;-&quot;_ ;_ @_ "/>
    <numFmt numFmtId="41" formatCode="_ * #,##0_ ;_ * \-#,##0_ ;_ * &quot;-&quot;_ ;_ @_ "/>
    <numFmt numFmtId="44" formatCode="_ &quot;CHF&quot;\ * #,##0.00_ ;_ &quot;CHF&quot;\ * \-#,##0.00_ ;_ &quot;CHF&quot;\ * &quot;-&quot;??_ ;_ @_ "/>
    <numFmt numFmtId="43" formatCode="_ * #,##0.00_ ;_ * \-#,##0.00_ ;_ * &quot;-&quot;??_ ;_ @_ "/>
    <numFmt numFmtId="164" formatCode="0.0"/>
    <numFmt numFmtId="165" formatCode="0.000"/>
    <numFmt numFmtId="166" formatCode="0.0%"/>
    <numFmt numFmtId="167" formatCode="_ * #,##0_ ;_ * \-#,##0_ ;_ * &quot;-&quot;??_ ;_ @_ "/>
    <numFmt numFmtId="168" formatCode="mmmm\ yyyy"/>
    <numFmt numFmtId="169" formatCode="#,##0.000"/>
    <numFmt numFmtId="170" formatCode="#,##0.0000000"/>
    <numFmt numFmtId="171" formatCode="0.0000"/>
    <numFmt numFmtId="172" formatCode="#,##0.0"/>
  </numFmts>
  <fonts count="41">
    <font>
      <sz val="11"/>
      <color theme="1"/>
      <name val="Calibri"/>
      <family val="2"/>
      <scheme val="minor"/>
    </font>
    <font>
      <sz val="9"/>
      <color theme="1"/>
      <name val="Calibri"/>
      <family val="2"/>
      <scheme val="minor"/>
    </font>
    <font>
      <sz val="8"/>
      <name val="Calibri"/>
      <family val="2"/>
      <scheme val="minor"/>
    </font>
    <font>
      <sz val="11"/>
      <color theme="1"/>
      <name val="Calibri"/>
      <family val="2"/>
      <scheme val="minor"/>
    </font>
    <font>
      <u/>
      <sz val="11"/>
      <color theme="10"/>
      <name val="Calibri"/>
      <family val="2"/>
      <scheme val="minor"/>
    </font>
    <font>
      <sz val="10"/>
      <name val="Calibri"/>
      <family val="2"/>
      <scheme val="minor"/>
    </font>
    <font>
      <sz val="11"/>
      <color theme="1"/>
      <name val="Helvetica LT Std"/>
      <family val="2"/>
    </font>
    <font>
      <sz val="11"/>
      <color theme="1"/>
      <name val="Calibri Light"/>
      <family val="2"/>
      <scheme val="major"/>
    </font>
    <font>
      <b/>
      <sz val="29"/>
      <name val="Calibri Light"/>
      <family val="2"/>
      <scheme val="major"/>
    </font>
    <font>
      <b/>
      <sz val="18"/>
      <color theme="1"/>
      <name val="Calibri Light"/>
      <family val="2"/>
      <scheme val="major"/>
    </font>
    <font>
      <sz val="20"/>
      <name val="Calibri Light"/>
      <family val="2"/>
      <scheme val="major"/>
    </font>
    <font>
      <sz val="12"/>
      <color theme="1"/>
      <name val="Calibri Light"/>
      <family val="2"/>
      <scheme val="major"/>
    </font>
    <font>
      <sz val="16"/>
      <name val="Calibri Light"/>
      <family val="2"/>
      <scheme val="major"/>
    </font>
    <font>
      <b/>
      <sz val="16"/>
      <color rgb="FFFF0000"/>
      <name val="Calibri Light"/>
      <family val="2"/>
      <scheme val="major"/>
    </font>
    <font>
      <sz val="9"/>
      <color theme="1" tint="0.499984740745262"/>
      <name val="Calibri Light"/>
      <family val="2"/>
      <scheme val="major"/>
    </font>
    <font>
      <b/>
      <sz val="14"/>
      <color rgb="FF3D71A1"/>
      <name val="Calibri Light"/>
      <family val="2"/>
      <scheme val="major"/>
    </font>
    <font>
      <i/>
      <sz val="11"/>
      <name val="Calibri Light"/>
      <family val="2"/>
      <scheme val="major"/>
    </font>
    <font>
      <b/>
      <sz val="13"/>
      <color theme="1"/>
      <name val="Calibri Light"/>
      <family val="2"/>
      <scheme val="major"/>
    </font>
    <font>
      <b/>
      <sz val="11"/>
      <color theme="1"/>
      <name val="Calibri Light"/>
      <family val="2"/>
      <scheme val="major"/>
    </font>
    <font>
      <i/>
      <sz val="9"/>
      <color theme="1"/>
      <name val="Calibri Light"/>
      <family val="2"/>
      <scheme val="major"/>
    </font>
    <font>
      <b/>
      <i/>
      <sz val="11"/>
      <color theme="1"/>
      <name val="Calibri Light"/>
      <family val="2"/>
      <scheme val="major"/>
    </font>
    <font>
      <i/>
      <sz val="11"/>
      <color theme="1"/>
      <name val="Calibri Light"/>
      <family val="2"/>
      <scheme val="major"/>
    </font>
    <font>
      <sz val="9"/>
      <color theme="1"/>
      <name val="Calibri Light"/>
      <family val="2"/>
      <scheme val="major"/>
    </font>
    <font>
      <b/>
      <sz val="9"/>
      <color theme="1"/>
      <name val="Calibri Light"/>
      <family val="2"/>
      <scheme val="major"/>
    </font>
    <font>
      <b/>
      <sz val="14"/>
      <color theme="1"/>
      <name val="Calibri Light"/>
      <family val="2"/>
      <scheme val="major"/>
    </font>
    <font>
      <sz val="11"/>
      <color theme="1" tint="0.499984740745262"/>
      <name val="Calibri Light"/>
      <family val="2"/>
      <scheme val="major"/>
    </font>
    <font>
      <vertAlign val="subscript"/>
      <sz val="11"/>
      <color theme="1"/>
      <name val="Calibri Light"/>
      <family val="2"/>
      <scheme val="major"/>
    </font>
    <font>
      <vertAlign val="superscript"/>
      <sz val="11"/>
      <color theme="1"/>
      <name val="Calibri Light"/>
      <family val="2"/>
      <scheme val="major"/>
    </font>
    <font>
      <b/>
      <vertAlign val="subscript"/>
      <sz val="11"/>
      <color theme="1"/>
      <name val="Calibri Light"/>
      <family val="2"/>
      <scheme val="major"/>
    </font>
    <font>
      <vertAlign val="superscript"/>
      <sz val="9"/>
      <color theme="1"/>
      <name val="Calibri Light"/>
      <family val="2"/>
      <scheme val="major"/>
    </font>
    <font>
      <vertAlign val="subscript"/>
      <sz val="9"/>
      <color theme="1"/>
      <name val="Calibri Light"/>
      <family val="2"/>
      <scheme val="major"/>
    </font>
    <font>
      <sz val="8"/>
      <color theme="1"/>
      <name val="Calibri Light"/>
      <family val="2"/>
      <scheme val="major"/>
    </font>
    <font>
      <sz val="11"/>
      <name val="Calibri Light"/>
      <family val="2"/>
      <scheme val="major"/>
    </font>
    <font>
      <u/>
      <sz val="9"/>
      <color theme="10"/>
      <name val="Calibri"/>
      <family val="2"/>
      <scheme val="minor"/>
    </font>
    <font>
      <b/>
      <sz val="10"/>
      <color theme="1"/>
      <name val="Calibri Light"/>
      <family val="2"/>
      <scheme val="major"/>
    </font>
    <font>
      <i/>
      <sz val="10"/>
      <color theme="1"/>
      <name val="Calibri Light"/>
      <family val="2"/>
      <scheme val="major"/>
    </font>
    <font>
      <sz val="14"/>
      <color theme="1"/>
      <name val="Calibri Light"/>
      <family val="2"/>
      <scheme val="major"/>
    </font>
    <font>
      <b/>
      <i/>
      <sz val="9"/>
      <color theme="1"/>
      <name val="Calibri Light"/>
      <family val="2"/>
      <scheme val="major"/>
    </font>
    <font>
      <sz val="10"/>
      <name val="Arial"/>
      <family val="2"/>
    </font>
    <font>
      <b/>
      <sz val="10"/>
      <color indexed="10"/>
      <name val="Arial"/>
      <family val="2"/>
    </font>
    <font>
      <b/>
      <vertAlign val="superscript"/>
      <sz val="11"/>
      <color theme="1"/>
      <name val="Calibri Light"/>
      <family val="2"/>
      <scheme val="major"/>
    </font>
  </fonts>
  <fills count="16">
    <fill>
      <patternFill patternType="none"/>
    </fill>
    <fill>
      <patternFill patternType="gray125"/>
    </fill>
    <fill>
      <patternFill patternType="solid">
        <fgColor rgb="FFFFFF00"/>
        <bgColor indexed="64"/>
      </patternFill>
    </fill>
    <fill>
      <patternFill patternType="solid">
        <fgColor indexed="43"/>
        <bgColor indexed="64"/>
      </patternFill>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7" tint="0.59999389629810485"/>
        <bgColor indexed="64"/>
      </patternFill>
    </fill>
    <fill>
      <patternFill patternType="solid">
        <fgColor theme="2"/>
        <bgColor indexed="64"/>
      </patternFill>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top style="thin">
        <color theme="0"/>
      </top>
      <bottom/>
      <diagonal/>
    </border>
    <border>
      <left style="thin">
        <color indexed="64"/>
      </left>
      <right/>
      <top style="thin">
        <color theme="0"/>
      </top>
      <bottom style="thin">
        <color theme="0"/>
      </bottom>
      <diagonal/>
    </border>
    <border>
      <left style="thin">
        <color indexed="64"/>
      </left>
      <right style="thin">
        <color indexed="64"/>
      </right>
      <top style="hair">
        <color indexed="64"/>
      </top>
      <bottom style="hair">
        <color indexed="64"/>
      </bottom>
      <diagonal/>
    </border>
    <border>
      <left/>
      <right/>
      <top style="thin">
        <color theme="0"/>
      </top>
      <bottom style="thin">
        <color theme="0"/>
      </bottom>
      <diagonal/>
    </border>
    <border>
      <left/>
      <right/>
      <top style="thin">
        <color theme="0"/>
      </top>
      <bottom style="thin">
        <color indexed="64"/>
      </bottom>
      <diagonal/>
    </border>
    <border>
      <left/>
      <right/>
      <top/>
      <bottom style="thin">
        <color theme="0"/>
      </bottom>
      <diagonal/>
    </border>
    <border>
      <left/>
      <right/>
      <top style="thin">
        <color theme="0"/>
      </top>
      <bottom/>
      <diagonal/>
    </border>
    <border>
      <left/>
      <right/>
      <top style="thin">
        <color indexed="64"/>
      </top>
      <bottom style="thin">
        <color theme="0"/>
      </bottom>
      <diagonal/>
    </border>
    <border>
      <left/>
      <right/>
      <top style="dotted">
        <color indexed="64"/>
      </top>
      <bottom style="dotted">
        <color indexed="64"/>
      </bottom>
      <diagonal/>
    </border>
    <border>
      <left/>
      <right/>
      <top/>
      <bottom style="dotted">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dotted">
        <color indexed="64"/>
      </top>
      <bottom/>
      <diagonal/>
    </border>
  </borders>
  <cellStyleXfs count="5">
    <xf numFmtId="0" fontId="0" fillId="0" borderId="0"/>
    <xf numFmtId="43" fontId="3" fillId="0" borderId="0" applyFont="0" applyFill="0" applyBorder="0" applyAlignment="0" applyProtection="0"/>
    <xf numFmtId="9" fontId="3" fillId="0" borderId="0" applyFont="0" applyFill="0" applyBorder="0" applyAlignment="0" applyProtection="0"/>
    <xf numFmtId="0" fontId="4" fillId="0" borderId="0" applyNumberFormat="0" applyFill="0" applyBorder="0" applyAlignment="0" applyProtection="0"/>
    <xf numFmtId="0" fontId="6" fillId="0" borderId="0"/>
  </cellStyleXfs>
  <cellXfs count="410">
    <xf numFmtId="0" fontId="0" fillId="0" borderId="0" xfId="0"/>
    <xf numFmtId="0" fontId="7" fillId="0" borderId="0" xfId="4" applyFont="1" applyAlignment="1">
      <alignment vertical="center"/>
    </xf>
    <xf numFmtId="0" fontId="7" fillId="0" borderId="0" xfId="0" applyFont="1"/>
    <xf numFmtId="14" fontId="7" fillId="0" borderId="0" xfId="4" applyNumberFormat="1" applyFont="1" applyAlignment="1">
      <alignment vertical="center"/>
    </xf>
    <xf numFmtId="0" fontId="11" fillId="0" borderId="0" xfId="4" applyFont="1" applyAlignment="1">
      <alignment vertical="center"/>
    </xf>
    <xf numFmtId="0" fontId="13" fillId="0" borderId="0" xfId="4" applyFont="1" applyAlignment="1">
      <alignment vertical="center"/>
    </xf>
    <xf numFmtId="0" fontId="14" fillId="0" borderId="0" xfId="4" applyFont="1" applyAlignment="1">
      <alignment vertical="center"/>
    </xf>
    <xf numFmtId="0" fontId="15" fillId="0" borderId="0" xfId="0" applyFont="1"/>
    <xf numFmtId="0" fontId="7" fillId="2" borderId="15" xfId="0" applyFont="1" applyFill="1" applyBorder="1"/>
    <xf numFmtId="0" fontId="7" fillId="2" borderId="16" xfId="0" applyFont="1" applyFill="1" applyBorder="1"/>
    <xf numFmtId="0" fontId="16" fillId="0" borderId="0" xfId="0" applyFont="1"/>
    <xf numFmtId="3" fontId="7" fillId="5" borderId="19" xfId="0" applyNumberFormat="1" applyFont="1" applyFill="1" applyBorder="1" applyAlignment="1">
      <alignment vertical="center"/>
    </xf>
    <xf numFmtId="0" fontId="22" fillId="5" borderId="20" xfId="0" applyFont="1" applyFill="1" applyBorder="1" applyAlignment="1">
      <alignment vertical="center"/>
    </xf>
    <xf numFmtId="3" fontId="7" fillId="7" borderId="19" xfId="0" applyNumberFormat="1" applyFont="1" applyFill="1" applyBorder="1" applyAlignment="1">
      <alignment vertical="center"/>
    </xf>
    <xf numFmtId="3" fontId="18" fillId="8" borderId="12" xfId="0" applyNumberFormat="1" applyFont="1" applyFill="1" applyBorder="1" applyAlignment="1">
      <alignment vertical="center"/>
    </xf>
    <xf numFmtId="0" fontId="23" fillId="8" borderId="14" xfId="0" applyFont="1" applyFill="1" applyBorder="1" applyAlignment="1">
      <alignment vertical="center"/>
    </xf>
    <xf numFmtId="0" fontId="7" fillId="5" borderId="0" xfId="0" applyFont="1" applyFill="1" applyAlignment="1">
      <alignment horizontal="right"/>
    </xf>
    <xf numFmtId="0" fontId="7" fillId="5" borderId="0" xfId="0" applyFont="1" applyFill="1"/>
    <xf numFmtId="0" fontId="7" fillId="0" borderId="0" xfId="0" applyFont="1" applyAlignment="1">
      <alignment vertical="center"/>
    </xf>
    <xf numFmtId="0" fontId="7" fillId="7" borderId="20" xfId="0" applyFont="1" applyFill="1" applyBorder="1" applyAlignment="1">
      <alignment vertical="center"/>
    </xf>
    <xf numFmtId="0" fontId="7" fillId="0" borderId="0" xfId="0" applyFont="1" applyAlignment="1">
      <alignment horizontal="right"/>
    </xf>
    <xf numFmtId="0" fontId="16" fillId="2" borderId="0" xfId="0" applyFont="1" applyFill="1"/>
    <xf numFmtId="0" fontId="22" fillId="5" borderId="0" xfId="0" applyFont="1" applyFill="1" applyAlignment="1">
      <alignment vertical="center"/>
    </xf>
    <xf numFmtId="3" fontId="7" fillId="0" borderId="0" xfId="0" applyNumberFormat="1" applyFont="1"/>
    <xf numFmtId="0" fontId="7" fillId="0" borderId="20" xfId="0" applyFont="1" applyBorder="1"/>
    <xf numFmtId="3" fontId="7" fillId="2" borderId="26" xfId="0" applyNumberFormat="1" applyFont="1" applyFill="1" applyBorder="1" applyAlignment="1" applyProtection="1">
      <alignment vertical="center"/>
      <protection locked="0"/>
    </xf>
    <xf numFmtId="169" fontId="7" fillId="2" borderId="26" xfId="0" applyNumberFormat="1" applyFont="1" applyFill="1" applyBorder="1" applyAlignment="1" applyProtection="1">
      <alignment vertical="center"/>
      <protection locked="0"/>
    </xf>
    <xf numFmtId="3" fontId="7" fillId="2" borderId="27" xfId="0" applyNumberFormat="1" applyFont="1" applyFill="1" applyBorder="1" applyAlignment="1" applyProtection="1">
      <alignment vertical="center"/>
      <protection locked="0"/>
    </xf>
    <xf numFmtId="4" fontId="7" fillId="2" borderId="13" xfId="0" applyNumberFormat="1" applyFont="1" applyFill="1" applyBorder="1" applyAlignment="1" applyProtection="1">
      <alignment vertical="center"/>
      <protection locked="0"/>
    </xf>
    <xf numFmtId="9" fontId="7" fillId="2" borderId="24" xfId="0" applyNumberFormat="1" applyFont="1" applyFill="1" applyBorder="1" applyAlignment="1" applyProtection="1">
      <alignment vertical="center"/>
      <protection locked="0"/>
    </xf>
    <xf numFmtId="0" fontId="7" fillId="5" borderId="20" xfId="0" applyFont="1" applyFill="1" applyBorder="1" applyAlignment="1">
      <alignment vertical="center"/>
    </xf>
    <xf numFmtId="0" fontId="7" fillId="2" borderId="0" xfId="0" applyFont="1" applyFill="1"/>
    <xf numFmtId="0" fontId="33" fillId="5" borderId="0" xfId="3" applyFont="1" applyFill="1" applyProtection="1"/>
    <xf numFmtId="0" fontId="19" fillId="0" borderId="0" xfId="0" applyFont="1"/>
    <xf numFmtId="0" fontId="22" fillId="5" borderId="0" xfId="0" applyFont="1" applyFill="1" applyAlignment="1">
      <alignment horizontal="right"/>
    </xf>
    <xf numFmtId="0" fontId="22" fillId="5" borderId="0" xfId="0" applyFont="1" applyFill="1"/>
    <xf numFmtId="0" fontId="7" fillId="9" borderId="0" xfId="0" applyFont="1" applyFill="1" applyAlignment="1">
      <alignment horizontal="right"/>
    </xf>
    <xf numFmtId="0" fontId="7" fillId="9" borderId="0" xfId="0" applyFont="1" applyFill="1"/>
    <xf numFmtId="0" fontId="7" fillId="7" borderId="32" xfId="0" applyFont="1" applyFill="1" applyBorder="1" applyAlignment="1">
      <alignment horizontal="right"/>
    </xf>
    <xf numFmtId="0" fontId="7" fillId="7" borderId="32" xfId="0" applyFont="1" applyFill="1" applyBorder="1"/>
    <xf numFmtId="3" fontId="7" fillId="7" borderId="32" xfId="0" applyNumberFormat="1" applyFont="1" applyFill="1" applyBorder="1"/>
    <xf numFmtId="0" fontId="7" fillId="7" borderId="0" xfId="0" applyFont="1" applyFill="1" applyAlignment="1">
      <alignment horizontal="right"/>
    </xf>
    <xf numFmtId="0" fontId="7" fillId="7" borderId="0" xfId="0" applyFont="1" applyFill="1"/>
    <xf numFmtId="3" fontId="7" fillId="7" borderId="0" xfId="0" applyNumberFormat="1" applyFont="1" applyFill="1"/>
    <xf numFmtId="0" fontId="7" fillId="6" borderId="0" xfId="0" applyFont="1" applyFill="1" applyAlignment="1">
      <alignment horizontal="right" wrapText="1"/>
    </xf>
    <xf numFmtId="0" fontId="7" fillId="6" borderId="0" xfId="0" applyFont="1" applyFill="1"/>
    <xf numFmtId="3" fontId="7" fillId="6" borderId="0" xfId="0" applyNumberFormat="1" applyFont="1" applyFill="1"/>
    <xf numFmtId="0" fontId="18" fillId="6" borderId="0" xfId="0" applyFont="1" applyFill="1" applyAlignment="1">
      <alignment horizontal="right" wrapText="1"/>
    </xf>
    <xf numFmtId="0" fontId="7" fillId="7" borderId="32" xfId="0" applyFont="1" applyFill="1" applyBorder="1" applyAlignment="1">
      <alignment horizontal="right" vertical="center" wrapText="1"/>
    </xf>
    <xf numFmtId="0" fontId="7" fillId="7" borderId="0" xfId="0" applyFont="1" applyFill="1" applyAlignment="1">
      <alignment horizontal="right" vertical="center" wrapText="1"/>
    </xf>
    <xf numFmtId="0" fontId="24" fillId="5" borderId="0" xfId="0" applyFont="1" applyFill="1" applyAlignment="1">
      <alignment horizontal="right" vertical="center" wrapText="1"/>
    </xf>
    <xf numFmtId="0" fontId="18" fillId="5" borderId="0" xfId="0" applyFont="1" applyFill="1" applyAlignment="1">
      <alignment horizontal="right" vertical="center" wrapText="1"/>
    </xf>
    <xf numFmtId="3" fontId="7" fillId="10" borderId="0" xfId="0" applyNumberFormat="1" applyFont="1" applyFill="1"/>
    <xf numFmtId="0" fontId="34" fillId="5" borderId="0" xfId="0" applyFont="1" applyFill="1" applyAlignment="1">
      <alignment horizontal="right" vertical="center" wrapText="1"/>
    </xf>
    <xf numFmtId="0" fontId="34" fillId="5" borderId="32" xfId="0" applyFont="1" applyFill="1" applyBorder="1" applyAlignment="1">
      <alignment horizontal="right" vertical="center" wrapText="1"/>
    </xf>
    <xf numFmtId="0" fontId="21" fillId="5" borderId="32" xfId="0" applyFont="1" applyFill="1" applyBorder="1" applyAlignment="1">
      <alignment horizontal="right" vertical="center" wrapText="1"/>
    </xf>
    <xf numFmtId="3" fontId="7" fillId="5" borderId="32" xfId="0" applyNumberFormat="1" applyFont="1" applyFill="1" applyBorder="1"/>
    <xf numFmtId="0" fontId="18" fillId="5" borderId="32" xfId="0" applyFont="1" applyFill="1" applyBorder="1" applyAlignment="1">
      <alignment horizontal="right" vertical="center" wrapText="1"/>
    </xf>
    <xf numFmtId="3" fontId="18" fillId="5" borderId="32" xfId="0" applyNumberFormat="1" applyFont="1" applyFill="1" applyBorder="1"/>
    <xf numFmtId="3" fontId="7" fillId="5" borderId="31" xfId="0" applyNumberFormat="1" applyFont="1" applyFill="1" applyBorder="1"/>
    <xf numFmtId="0" fontId="34" fillId="7" borderId="0" xfId="0" applyFont="1" applyFill="1" applyAlignment="1">
      <alignment horizontal="right" vertical="center" wrapText="1"/>
    </xf>
    <xf numFmtId="0" fontId="18" fillId="7" borderId="0" xfId="0" applyFont="1" applyFill="1" applyAlignment="1">
      <alignment horizontal="right" vertical="center" wrapText="1"/>
    </xf>
    <xf numFmtId="3" fontId="7" fillId="5" borderId="0" xfId="0" applyNumberFormat="1" applyFont="1" applyFill="1"/>
    <xf numFmtId="3" fontId="7" fillId="11" borderId="0" xfId="0" applyNumberFormat="1" applyFont="1" applyFill="1"/>
    <xf numFmtId="0" fontId="7" fillId="7" borderId="33" xfId="0" applyFont="1" applyFill="1" applyBorder="1" applyAlignment="1">
      <alignment horizontal="right" vertical="center" wrapText="1"/>
    </xf>
    <xf numFmtId="0" fontId="7" fillId="7" borderId="33" xfId="0" applyFont="1" applyFill="1" applyBorder="1"/>
    <xf numFmtId="3" fontId="7" fillId="7" borderId="33" xfId="0" applyNumberFormat="1" applyFont="1" applyFill="1" applyBorder="1"/>
    <xf numFmtId="0" fontId="7" fillId="11" borderId="32" xfId="0" applyFont="1" applyFill="1" applyBorder="1" applyAlignment="1">
      <alignment horizontal="right" wrapText="1"/>
    </xf>
    <xf numFmtId="3" fontId="7" fillId="11" borderId="32" xfId="0" applyNumberFormat="1" applyFont="1" applyFill="1" applyBorder="1"/>
    <xf numFmtId="0" fontId="18" fillId="11" borderId="32" xfId="0" applyFont="1" applyFill="1" applyBorder="1" applyAlignment="1">
      <alignment horizontal="right" wrapText="1"/>
    </xf>
    <xf numFmtId="0" fontId="18" fillId="11" borderId="0" xfId="0" applyFont="1" applyFill="1" applyAlignment="1">
      <alignment horizontal="right" wrapText="1"/>
    </xf>
    <xf numFmtId="0" fontId="7" fillId="12" borderId="0" xfId="0" applyFont="1" applyFill="1" applyAlignment="1">
      <alignment horizontal="right"/>
    </xf>
    <xf numFmtId="0" fontId="7" fillId="12" borderId="0" xfId="0" applyFont="1" applyFill="1"/>
    <xf numFmtId="0" fontId="7" fillId="12" borderId="31" xfId="0" applyFont="1" applyFill="1" applyBorder="1" applyAlignment="1">
      <alignment horizontal="right"/>
    </xf>
    <xf numFmtId="0" fontId="7" fillId="12" borderId="31" xfId="0" applyFont="1" applyFill="1" applyBorder="1"/>
    <xf numFmtId="0" fontId="7" fillId="12" borderId="32" xfId="0" applyFont="1" applyFill="1" applyBorder="1"/>
    <xf numFmtId="2" fontId="7" fillId="12" borderId="32" xfId="0" applyNumberFormat="1" applyFont="1" applyFill="1" applyBorder="1" applyAlignment="1">
      <alignment horizontal="right"/>
    </xf>
    <xf numFmtId="3" fontId="7" fillId="7" borderId="32" xfId="0" applyNumberFormat="1" applyFont="1" applyFill="1" applyBorder="1" applyAlignment="1">
      <alignment horizontal="right"/>
    </xf>
    <xf numFmtId="3" fontId="7" fillId="7" borderId="0" xfId="0" applyNumberFormat="1" applyFont="1" applyFill="1" applyAlignment="1">
      <alignment horizontal="right"/>
    </xf>
    <xf numFmtId="0" fontId="7" fillId="13" borderId="0" xfId="0" applyFont="1" applyFill="1" applyAlignment="1">
      <alignment horizontal="right"/>
    </xf>
    <xf numFmtId="0" fontId="7" fillId="13" borderId="0" xfId="0" applyFont="1" applyFill="1"/>
    <xf numFmtId="2" fontId="7" fillId="13" borderId="0" xfId="0" applyNumberFormat="1" applyFont="1" applyFill="1" applyAlignment="1">
      <alignment horizontal="right"/>
    </xf>
    <xf numFmtId="0" fontId="7" fillId="2" borderId="33" xfId="0" applyFont="1" applyFill="1" applyBorder="1"/>
    <xf numFmtId="3" fontId="7" fillId="2" borderId="33" xfId="0" applyNumberFormat="1" applyFont="1" applyFill="1" applyBorder="1"/>
    <xf numFmtId="0" fontId="7" fillId="0" borderId="34" xfId="0" applyFont="1" applyBorder="1" applyAlignment="1">
      <alignment horizontal="right"/>
    </xf>
    <xf numFmtId="0" fontId="18" fillId="0" borderId="35" xfId="0" applyFont="1" applyBorder="1" applyAlignment="1">
      <alignment horizontal="right"/>
    </xf>
    <xf numFmtId="0" fontId="18" fillId="4" borderId="35" xfId="0" applyFont="1" applyFill="1" applyBorder="1" applyAlignment="1">
      <alignment horizontal="right"/>
    </xf>
    <xf numFmtId="0" fontId="18" fillId="4" borderId="16" xfId="0" applyFont="1" applyFill="1" applyBorder="1" applyAlignment="1">
      <alignment horizontal="right"/>
    </xf>
    <xf numFmtId="0" fontId="7" fillId="0" borderId="0" xfId="0" applyFont="1" applyAlignment="1">
      <alignment horizontal="center" vertical="center"/>
    </xf>
    <xf numFmtId="3" fontId="7" fillId="0" borderId="0" xfId="0" applyNumberFormat="1" applyFont="1" applyAlignment="1">
      <alignment horizontal="right"/>
    </xf>
    <xf numFmtId="0" fontId="7" fillId="0" borderId="18" xfId="0" applyFont="1" applyBorder="1" applyAlignment="1">
      <alignment horizontal="right" vertical="center"/>
    </xf>
    <xf numFmtId="3" fontId="7" fillId="4" borderId="0" xfId="0" applyNumberFormat="1" applyFont="1" applyFill="1" applyAlignment="1">
      <alignment vertical="center"/>
    </xf>
    <xf numFmtId="3" fontId="7" fillId="0" borderId="0" xfId="0" applyNumberFormat="1" applyFont="1" applyAlignment="1">
      <alignment vertical="center"/>
    </xf>
    <xf numFmtId="3" fontId="7" fillId="4" borderId="20" xfId="0" applyNumberFormat="1" applyFont="1" applyFill="1" applyBorder="1" applyAlignment="1">
      <alignment vertical="center"/>
    </xf>
    <xf numFmtId="0" fontId="7" fillId="0" borderId="34" xfId="0" applyFont="1" applyBorder="1" applyAlignment="1">
      <alignment horizontal="right" vertical="center"/>
    </xf>
    <xf numFmtId="3" fontId="7" fillId="4" borderId="35" xfId="0" applyNumberFormat="1" applyFont="1" applyFill="1" applyBorder="1" applyAlignment="1">
      <alignment vertical="center"/>
    </xf>
    <xf numFmtId="3" fontId="7" fillId="0" borderId="35" xfId="0" applyNumberFormat="1" applyFont="1" applyBorder="1" applyAlignment="1">
      <alignment vertical="center"/>
    </xf>
    <xf numFmtId="3" fontId="7" fillId="4" borderId="16" xfId="0" applyNumberFormat="1" applyFont="1" applyFill="1" applyBorder="1" applyAlignment="1">
      <alignment vertical="center"/>
    </xf>
    <xf numFmtId="0" fontId="7" fillId="12" borderId="10" xfId="0" applyFont="1" applyFill="1" applyBorder="1" applyAlignment="1">
      <alignment vertical="center"/>
    </xf>
    <xf numFmtId="0" fontId="7" fillId="14" borderId="13" xfId="0" applyFont="1" applyFill="1" applyBorder="1" applyAlignment="1">
      <alignment vertical="center"/>
    </xf>
    <xf numFmtId="0" fontId="19" fillId="7" borderId="32" xfId="0" applyFont="1" applyFill="1" applyBorder="1" applyAlignment="1">
      <alignment horizontal="right" vertical="center" wrapText="1"/>
    </xf>
    <xf numFmtId="3" fontId="19" fillId="7" borderId="32" xfId="0" applyNumberFormat="1" applyFont="1" applyFill="1" applyBorder="1"/>
    <xf numFmtId="0" fontId="7" fillId="7" borderId="36" xfId="0" applyFont="1" applyFill="1" applyBorder="1" applyAlignment="1">
      <alignment horizontal="right" vertical="center" wrapText="1"/>
    </xf>
    <xf numFmtId="0" fontId="7" fillId="7" borderId="36" xfId="0" applyFont="1" applyFill="1" applyBorder="1"/>
    <xf numFmtId="3" fontId="19" fillId="7" borderId="0" xfId="0" applyNumberFormat="1" applyFont="1" applyFill="1"/>
    <xf numFmtId="0" fontId="21" fillId="5" borderId="20" xfId="0" applyFont="1" applyFill="1" applyBorder="1" applyAlignment="1">
      <alignment vertical="center"/>
    </xf>
    <xf numFmtId="0" fontId="21" fillId="7" borderId="18" xfId="0" applyFont="1" applyFill="1" applyBorder="1" applyAlignment="1">
      <alignment vertical="center"/>
    </xf>
    <xf numFmtId="0" fontId="22" fillId="7" borderId="0" xfId="0" applyFont="1" applyFill="1" applyAlignment="1">
      <alignment vertical="center"/>
    </xf>
    <xf numFmtId="0" fontId="7" fillId="7" borderId="20" xfId="0" applyFont="1" applyFill="1" applyBorder="1"/>
    <xf numFmtId="3" fontId="7" fillId="5" borderId="18" xfId="0" applyNumberFormat="1" applyFont="1" applyFill="1" applyBorder="1" applyAlignment="1">
      <alignment vertical="center"/>
    </xf>
    <xf numFmtId="3" fontId="7" fillId="5" borderId="20" xfId="0" applyNumberFormat="1" applyFont="1" applyFill="1" applyBorder="1" applyAlignment="1">
      <alignment vertical="center"/>
    </xf>
    <xf numFmtId="2" fontId="7" fillId="0" borderId="0" xfId="0" applyNumberFormat="1" applyFont="1" applyAlignment="1">
      <alignment horizontal="right"/>
    </xf>
    <xf numFmtId="3" fontId="7" fillId="7" borderId="34" xfId="0" applyNumberFormat="1" applyFont="1" applyFill="1" applyBorder="1" applyAlignment="1">
      <alignment vertical="center"/>
    </xf>
    <xf numFmtId="3" fontId="7" fillId="7" borderId="16" xfId="0" applyNumberFormat="1" applyFont="1" applyFill="1" applyBorder="1" applyAlignment="1">
      <alignment vertical="center"/>
    </xf>
    <xf numFmtId="2" fontId="7" fillId="5" borderId="0" xfId="0" applyNumberFormat="1" applyFont="1" applyFill="1" applyAlignment="1">
      <alignment horizontal="right"/>
    </xf>
    <xf numFmtId="0" fontId="20" fillId="11" borderId="34" xfId="0" applyFont="1" applyFill="1" applyBorder="1" applyAlignment="1">
      <alignment horizontal="right" vertical="center" wrapText="1"/>
    </xf>
    <xf numFmtId="0" fontId="20" fillId="11" borderId="34" xfId="0" applyFont="1" applyFill="1" applyBorder="1" applyAlignment="1">
      <alignment horizontal="right" vertical="center"/>
    </xf>
    <xf numFmtId="0" fontId="37" fillId="11" borderId="34" xfId="0" applyFont="1" applyFill="1" applyBorder="1" applyAlignment="1">
      <alignment horizontal="right" vertical="center" wrapText="1"/>
    </xf>
    <xf numFmtId="0" fontId="37" fillId="11" borderId="35" xfId="0" applyFont="1" applyFill="1" applyBorder="1" applyAlignment="1">
      <alignment horizontal="right" vertical="center" wrapText="1"/>
    </xf>
    <xf numFmtId="0" fontId="20" fillId="11" borderId="35" xfId="0" applyFont="1" applyFill="1" applyBorder="1" applyAlignment="1">
      <alignment horizontal="right" vertical="center"/>
    </xf>
    <xf numFmtId="1" fontId="7" fillId="9" borderId="0" xfId="0" applyNumberFormat="1" applyFont="1" applyFill="1"/>
    <xf numFmtId="1" fontId="7" fillId="12" borderId="0" xfId="0" applyNumberFormat="1" applyFont="1" applyFill="1" applyAlignment="1">
      <alignment horizontal="right"/>
    </xf>
    <xf numFmtId="166" fontId="7" fillId="12" borderId="31" xfId="2" applyNumberFormat="1" applyFont="1" applyFill="1" applyBorder="1" applyAlignment="1">
      <alignment horizontal="right"/>
    </xf>
    <xf numFmtId="41" fontId="7" fillId="7" borderId="32" xfId="1" applyNumberFormat="1" applyFont="1" applyFill="1" applyBorder="1"/>
    <xf numFmtId="165" fontId="7" fillId="6" borderId="0" xfId="0" applyNumberFormat="1" applyFont="1" applyFill="1"/>
    <xf numFmtId="3" fontId="7" fillId="15" borderId="19" xfId="0" applyNumberFormat="1" applyFont="1" applyFill="1" applyBorder="1" applyAlignment="1">
      <alignment vertical="center"/>
    </xf>
    <xf numFmtId="0" fontId="22" fillId="15" borderId="0" xfId="0" applyFont="1" applyFill="1" applyAlignment="1">
      <alignment vertical="center"/>
    </xf>
    <xf numFmtId="0" fontId="21" fillId="11" borderId="9" xfId="0" applyFont="1" applyFill="1" applyBorder="1" applyAlignment="1">
      <alignment vertical="center"/>
    </xf>
    <xf numFmtId="0" fontId="21" fillId="11" borderId="11" xfId="0" applyFont="1" applyFill="1" applyBorder="1" applyAlignment="1">
      <alignment vertical="center"/>
    </xf>
    <xf numFmtId="0" fontId="21" fillId="5" borderId="19" xfId="0" applyFont="1" applyFill="1" applyBorder="1" applyAlignment="1">
      <alignment vertical="center"/>
    </xf>
    <xf numFmtId="0" fontId="21" fillId="8" borderId="12" xfId="0" applyFont="1" applyFill="1" applyBorder="1" applyAlignment="1">
      <alignment vertical="center"/>
    </xf>
    <xf numFmtId="0" fontId="21" fillId="8" borderId="14" xfId="0" applyFont="1" applyFill="1" applyBorder="1" applyAlignment="1">
      <alignment vertical="center"/>
    </xf>
    <xf numFmtId="0" fontId="23" fillId="8" borderId="13" xfId="0" applyFont="1" applyFill="1" applyBorder="1" applyAlignment="1">
      <alignment vertical="center"/>
    </xf>
    <xf numFmtId="0" fontId="7" fillId="11" borderId="11" xfId="0" applyFont="1" applyFill="1" applyBorder="1"/>
    <xf numFmtId="3" fontId="7" fillId="10" borderId="19" xfId="0" applyNumberFormat="1" applyFont="1" applyFill="1" applyBorder="1" applyAlignment="1">
      <alignment horizontal="center" vertical="center"/>
    </xf>
    <xf numFmtId="1" fontId="7" fillId="13" borderId="0" xfId="0" applyNumberFormat="1" applyFont="1" applyFill="1" applyAlignment="1">
      <alignment horizontal="right"/>
    </xf>
    <xf numFmtId="0" fontId="7" fillId="5" borderId="0" xfId="0" applyFont="1" applyFill="1" applyAlignment="1">
      <alignment horizontal="left" vertical="center"/>
    </xf>
    <xf numFmtId="3" fontId="7" fillId="5" borderId="0" xfId="0" applyNumberFormat="1" applyFont="1" applyFill="1" applyAlignment="1">
      <alignment vertical="center"/>
    </xf>
    <xf numFmtId="167" fontId="7" fillId="15" borderId="21" xfId="1" applyNumberFormat="1" applyFont="1" applyFill="1" applyBorder="1"/>
    <xf numFmtId="167" fontId="7" fillId="0" borderId="34" xfId="1" applyNumberFormat="1" applyFont="1" applyBorder="1" applyAlignment="1">
      <alignment horizontal="right"/>
    </xf>
    <xf numFmtId="0" fontId="7" fillId="5" borderId="0" xfId="0" applyFont="1" applyFill="1" applyAlignment="1">
      <alignment horizontal="center" vertical="center"/>
    </xf>
    <xf numFmtId="3" fontId="7" fillId="5" borderId="0" xfId="0" applyNumberFormat="1" applyFont="1" applyFill="1" applyAlignment="1">
      <alignment horizontal="right"/>
    </xf>
    <xf numFmtId="9" fontId="7" fillId="0" borderId="0" xfId="2" applyFont="1" applyFill="1" applyAlignment="1">
      <alignment horizontal="right"/>
    </xf>
    <xf numFmtId="0" fontId="7" fillId="0" borderId="0" xfId="0" applyFont="1" applyAlignment="1">
      <alignment horizontal="center"/>
    </xf>
    <xf numFmtId="0" fontId="21" fillId="7" borderId="20" xfId="0" applyFont="1" applyFill="1" applyBorder="1" applyAlignment="1">
      <alignment vertical="center"/>
    </xf>
    <xf numFmtId="0" fontId="20" fillId="11" borderId="15" xfId="0" applyFont="1" applyFill="1" applyBorder="1" applyAlignment="1">
      <alignment horizontal="right" vertical="center" wrapText="1"/>
    </xf>
    <xf numFmtId="0" fontId="20" fillId="11" borderId="16" xfId="0" applyFont="1" applyFill="1" applyBorder="1" applyAlignment="1">
      <alignment horizontal="right" vertical="center"/>
    </xf>
    <xf numFmtId="167" fontId="7" fillId="12" borderId="10" xfId="1" applyNumberFormat="1" applyFont="1" applyFill="1" applyBorder="1" applyAlignment="1">
      <alignment vertical="center"/>
    </xf>
    <xf numFmtId="167" fontId="7" fillId="12" borderId="11" xfId="1" applyNumberFormat="1" applyFont="1" applyFill="1" applyBorder="1" applyAlignment="1">
      <alignment vertical="center"/>
    </xf>
    <xf numFmtId="167" fontId="7" fillId="14" borderId="13" xfId="1" applyNumberFormat="1" applyFont="1" applyFill="1" applyBorder="1" applyAlignment="1">
      <alignment vertical="center"/>
    </xf>
    <xf numFmtId="167" fontId="7" fillId="14" borderId="14" xfId="1" applyNumberFormat="1" applyFont="1" applyFill="1" applyBorder="1" applyAlignment="1">
      <alignment vertical="center"/>
    </xf>
    <xf numFmtId="167" fontId="7" fillId="7" borderId="10" xfId="1" applyNumberFormat="1" applyFont="1" applyFill="1" applyBorder="1" applyAlignment="1">
      <alignment horizontal="right" vertical="center"/>
    </xf>
    <xf numFmtId="167" fontId="7" fillId="7" borderId="11" xfId="1" applyNumberFormat="1" applyFont="1" applyFill="1" applyBorder="1" applyAlignment="1">
      <alignment horizontal="right" vertical="center"/>
    </xf>
    <xf numFmtId="167" fontId="7" fillId="9" borderId="13" xfId="1" applyNumberFormat="1" applyFont="1" applyFill="1" applyBorder="1" applyAlignment="1">
      <alignment horizontal="right" vertical="center"/>
    </xf>
    <xf numFmtId="167" fontId="7" fillId="9" borderId="14" xfId="1" applyNumberFormat="1" applyFont="1" applyFill="1" applyBorder="1" applyAlignment="1">
      <alignment horizontal="right" vertical="center"/>
    </xf>
    <xf numFmtId="0" fontId="7" fillId="5" borderId="20" xfId="0" applyFont="1" applyFill="1" applyBorder="1" applyAlignment="1">
      <alignment horizontal="left" vertical="center" wrapText="1"/>
    </xf>
    <xf numFmtId="9" fontId="7" fillId="5" borderId="0" xfId="2" applyFont="1" applyFill="1" applyBorder="1" applyAlignment="1">
      <alignment vertical="center"/>
    </xf>
    <xf numFmtId="9" fontId="7" fillId="0" borderId="0" xfId="2" applyFont="1"/>
    <xf numFmtId="172" fontId="7" fillId="5" borderId="0" xfId="0" applyNumberFormat="1" applyFont="1" applyFill="1" applyAlignment="1">
      <alignment horizontal="right"/>
    </xf>
    <xf numFmtId="167" fontId="7" fillId="7" borderId="10" xfId="1" applyNumberFormat="1" applyFont="1" applyFill="1" applyBorder="1"/>
    <xf numFmtId="167" fontId="7" fillId="7" borderId="11" xfId="1" applyNumberFormat="1" applyFont="1" applyFill="1" applyBorder="1"/>
    <xf numFmtId="167" fontId="7" fillId="9" borderId="13" xfId="1" applyNumberFormat="1" applyFont="1" applyFill="1" applyBorder="1"/>
    <xf numFmtId="167" fontId="7" fillId="9" borderId="14" xfId="1" applyNumberFormat="1" applyFont="1" applyFill="1" applyBorder="1"/>
    <xf numFmtId="0" fontId="7" fillId="7" borderId="17" xfId="0" applyFont="1" applyFill="1" applyBorder="1" applyAlignment="1">
      <alignment vertical="center"/>
    </xf>
    <xf numFmtId="0" fontId="7" fillId="9" borderId="21" xfId="0" applyFont="1" applyFill="1" applyBorder="1" applyAlignment="1">
      <alignment vertical="center"/>
    </xf>
    <xf numFmtId="0" fontId="7" fillId="7" borderId="17" xfId="0" applyFont="1" applyFill="1" applyBorder="1" applyAlignment="1">
      <alignment horizontal="right" vertical="center"/>
    </xf>
    <xf numFmtId="0" fontId="7" fillId="9" borderId="21" xfId="0" applyFont="1" applyFill="1" applyBorder="1" applyAlignment="1">
      <alignment horizontal="right" vertical="center"/>
    </xf>
    <xf numFmtId="0" fontId="7" fillId="5" borderId="19" xfId="0" applyFont="1" applyFill="1" applyBorder="1" applyAlignment="1">
      <alignment horizontal="left" vertical="center"/>
    </xf>
    <xf numFmtId="0" fontId="7" fillId="5" borderId="20" xfId="0" applyFont="1" applyFill="1" applyBorder="1"/>
    <xf numFmtId="4" fontId="7" fillId="7" borderId="12" xfId="0" applyNumberFormat="1" applyFont="1" applyFill="1" applyBorder="1" applyAlignment="1">
      <alignment vertical="center"/>
    </xf>
    <xf numFmtId="3" fontId="7" fillId="7" borderId="12" xfId="0" applyNumberFormat="1" applyFont="1" applyFill="1" applyBorder="1" applyAlignment="1">
      <alignment vertical="center"/>
    </xf>
    <xf numFmtId="0" fontId="22" fillId="7" borderId="13" xfId="0" applyFont="1" applyFill="1" applyBorder="1" applyAlignment="1">
      <alignment vertical="center"/>
    </xf>
    <xf numFmtId="0" fontId="21" fillId="7" borderId="14" xfId="0" applyFont="1" applyFill="1" applyBorder="1" applyAlignment="1">
      <alignment vertical="center"/>
    </xf>
    <xf numFmtId="4" fontId="7" fillId="5" borderId="19" xfId="0" applyNumberFormat="1" applyFont="1" applyFill="1" applyBorder="1" applyAlignment="1">
      <alignment vertical="center"/>
    </xf>
    <xf numFmtId="9" fontId="7" fillId="0" borderId="0" xfId="0" applyNumberFormat="1" applyFont="1" applyAlignment="1">
      <alignment horizontal="right" vertical="center"/>
    </xf>
    <xf numFmtId="9" fontId="7" fillId="0" borderId="0" xfId="0" applyNumberFormat="1" applyFont="1" applyAlignment="1">
      <alignment horizontal="right"/>
    </xf>
    <xf numFmtId="2" fontId="7" fillId="0" borderId="0" xfId="2" applyNumberFormat="1" applyFont="1" applyAlignment="1">
      <alignment horizontal="right" vertical="center"/>
    </xf>
    <xf numFmtId="167" fontId="7" fillId="12" borderId="10" xfId="1" applyNumberFormat="1" applyFont="1" applyFill="1" applyBorder="1" applyAlignment="1">
      <alignment horizontal="right" vertical="center"/>
    </xf>
    <xf numFmtId="167" fontId="7" fillId="12" borderId="11" xfId="1" applyNumberFormat="1" applyFont="1" applyFill="1" applyBorder="1" applyAlignment="1">
      <alignment horizontal="right" vertical="center"/>
    </xf>
    <xf numFmtId="167" fontId="7" fillId="14" borderId="13" xfId="1" applyNumberFormat="1" applyFont="1" applyFill="1" applyBorder="1" applyAlignment="1">
      <alignment horizontal="right" vertical="center"/>
    </xf>
    <xf numFmtId="167" fontId="7" fillId="14" borderId="14" xfId="1" applyNumberFormat="1" applyFont="1" applyFill="1" applyBorder="1" applyAlignment="1">
      <alignment horizontal="right" vertical="center"/>
    </xf>
    <xf numFmtId="0" fontId="7" fillId="0" borderId="0" xfId="0" applyFont="1" applyAlignment="1">
      <alignment horizontal="right" vertical="center"/>
    </xf>
    <xf numFmtId="164" fontId="7" fillId="0" borderId="0" xfId="0" applyNumberFormat="1" applyFont="1" applyAlignment="1">
      <alignment horizontal="right"/>
    </xf>
    <xf numFmtId="0" fontId="7" fillId="7" borderId="14" xfId="0" applyFont="1" applyFill="1" applyBorder="1" applyAlignment="1">
      <alignment vertical="center"/>
    </xf>
    <xf numFmtId="3" fontId="7" fillId="2" borderId="19" xfId="0" applyNumberFormat="1" applyFont="1" applyFill="1" applyBorder="1" applyAlignment="1" applyProtection="1">
      <alignment horizontal="right" vertical="center"/>
      <protection locked="0"/>
    </xf>
    <xf numFmtId="0" fontId="22" fillId="15" borderId="20" xfId="0" applyFont="1" applyFill="1" applyBorder="1" applyAlignment="1">
      <alignment vertical="center"/>
    </xf>
    <xf numFmtId="0" fontId="21" fillId="7" borderId="19" xfId="0" applyFont="1" applyFill="1" applyBorder="1" applyAlignment="1">
      <alignment vertical="center"/>
    </xf>
    <xf numFmtId="0" fontId="24" fillId="0" borderId="0" xfId="0" applyFont="1"/>
    <xf numFmtId="0" fontId="7" fillId="0" borderId="1" xfId="0" applyFont="1" applyBorder="1"/>
    <xf numFmtId="0" fontId="7" fillId="0" borderId="2" xfId="0" applyFont="1" applyBorder="1"/>
    <xf numFmtId="0" fontId="7" fillId="0" borderId="3" xfId="0" applyFont="1" applyBorder="1"/>
    <xf numFmtId="0" fontId="18" fillId="0" borderId="7" xfId="0" applyFont="1" applyBorder="1"/>
    <xf numFmtId="0" fontId="7" fillId="0" borderId="6" xfId="0" applyFont="1" applyBorder="1"/>
    <xf numFmtId="0" fontId="18" fillId="8" borderId="17" xfId="0" applyFont="1" applyFill="1" applyBorder="1"/>
    <xf numFmtId="0" fontId="7" fillId="8" borderId="10" xfId="0" applyFont="1" applyFill="1" applyBorder="1" applyAlignment="1">
      <alignment horizontal="center" vertical="top" wrapText="1"/>
    </xf>
    <xf numFmtId="0" fontId="21" fillId="8" borderId="11" xfId="0" applyFont="1" applyFill="1" applyBorder="1"/>
    <xf numFmtId="0" fontId="7" fillId="0" borderId="7" xfId="0" applyFont="1" applyBorder="1"/>
    <xf numFmtId="0" fontId="21" fillId="4" borderId="18" xfId="0" applyFont="1" applyFill="1" applyBorder="1"/>
    <xf numFmtId="0" fontId="7" fillId="4" borderId="0" xfId="0" applyFont="1" applyFill="1"/>
    <xf numFmtId="0" fontId="7" fillId="4" borderId="20" xfId="0" applyFont="1" applyFill="1" applyBorder="1"/>
    <xf numFmtId="0" fontId="7" fillId="0" borderId="0" xfId="0" applyFont="1" applyAlignment="1">
      <alignment textRotation="90" wrapText="1" shrinkToFit="1"/>
    </xf>
    <xf numFmtId="1" fontId="7" fillId="0" borderId="1" xfId="0" applyNumberFormat="1" applyFont="1" applyBorder="1"/>
    <xf numFmtId="1" fontId="0" fillId="0" borderId="2" xfId="0" applyNumberFormat="1" applyBorder="1" applyAlignment="1">
      <alignment horizontal="center" vertical="center"/>
    </xf>
    <xf numFmtId="1" fontId="0" fillId="0" borderId="3" xfId="0" applyNumberFormat="1" applyBorder="1" applyAlignment="1">
      <alignment horizontal="center" vertical="center"/>
    </xf>
    <xf numFmtId="0" fontId="18" fillId="4" borderId="18" xfId="0" applyFont="1" applyFill="1" applyBorder="1"/>
    <xf numFmtId="1" fontId="18" fillId="4" borderId="0" xfId="0" applyNumberFormat="1" applyFont="1" applyFill="1"/>
    <xf numFmtId="0" fontId="18" fillId="4" borderId="20" xfId="0" applyFont="1" applyFill="1" applyBorder="1"/>
    <xf numFmtId="1" fontId="0" fillId="0" borderId="7" xfId="0" applyNumberFormat="1" applyBorder="1" applyAlignment="1">
      <alignment horizontal="center" vertical="center"/>
    </xf>
    <xf numFmtId="1" fontId="7" fillId="0" borderId="0" xfId="0" applyNumberFormat="1" applyFont="1"/>
    <xf numFmtId="1" fontId="7" fillId="0" borderId="0" xfId="0" applyNumberFormat="1" applyFont="1" applyAlignment="1">
      <alignment horizontal="right"/>
    </xf>
    <xf numFmtId="1" fontId="7" fillId="0" borderId="6" xfId="0" applyNumberFormat="1" applyFont="1" applyBorder="1"/>
    <xf numFmtId="0" fontId="7" fillId="0" borderId="18" xfId="0" applyFont="1" applyBorder="1"/>
    <xf numFmtId="0" fontId="7" fillId="7" borderId="18" xfId="0" applyFont="1" applyFill="1" applyBorder="1" applyAlignment="1">
      <alignment vertical="center"/>
    </xf>
    <xf numFmtId="0" fontId="22" fillId="7" borderId="20" xfId="0" applyFont="1" applyFill="1" applyBorder="1" applyAlignment="1">
      <alignment vertical="center"/>
    </xf>
    <xf numFmtId="0" fontId="22" fillId="7" borderId="20" xfId="0" quotePrefix="1" applyFont="1" applyFill="1" applyBorder="1" applyAlignment="1">
      <alignment vertical="center"/>
    </xf>
    <xf numFmtId="0" fontId="7" fillId="5" borderId="18" xfId="0" applyFont="1" applyFill="1" applyBorder="1" applyAlignment="1">
      <alignment vertical="center"/>
    </xf>
    <xf numFmtId="0" fontId="7" fillId="5" borderId="21" xfId="0" applyFont="1" applyFill="1" applyBorder="1" applyAlignment="1">
      <alignment vertical="center"/>
    </xf>
    <xf numFmtId="0" fontId="22" fillId="5" borderId="14" xfId="0" applyFont="1" applyFill="1" applyBorder="1" applyAlignment="1">
      <alignment vertical="center"/>
    </xf>
    <xf numFmtId="0" fontId="7" fillId="4" borderId="17" xfId="0" applyFont="1" applyFill="1" applyBorder="1"/>
    <xf numFmtId="3" fontId="7" fillId="4" borderId="10" xfId="0" applyNumberFormat="1" applyFont="1" applyFill="1" applyBorder="1"/>
    <xf numFmtId="0" fontId="7" fillId="4" borderId="11" xfId="0" applyFont="1" applyFill="1" applyBorder="1"/>
    <xf numFmtId="0" fontId="7" fillId="7" borderId="18" xfId="0" applyFont="1" applyFill="1" applyBorder="1" applyAlignment="1">
      <alignment horizontal="left" vertical="center"/>
    </xf>
    <xf numFmtId="3" fontId="7" fillId="7" borderId="26" xfId="0" applyNumberFormat="1" applyFont="1" applyFill="1" applyBorder="1" applyAlignment="1">
      <alignment vertical="center"/>
    </xf>
    <xf numFmtId="1" fontId="0" fillId="0" borderId="8" xfId="0" applyNumberFormat="1" applyBorder="1" applyAlignment="1">
      <alignment horizontal="center" vertical="center"/>
    </xf>
    <xf numFmtId="1" fontId="7" fillId="0" borderId="4" xfId="0" applyNumberFormat="1" applyFont="1" applyBorder="1"/>
    <xf numFmtId="1" fontId="7" fillId="0" borderId="5" xfId="0" applyNumberFormat="1" applyFont="1" applyBorder="1"/>
    <xf numFmtId="0" fontId="22" fillId="5" borderId="20" xfId="0" quotePrefix="1" applyFont="1" applyFill="1" applyBorder="1" applyAlignment="1">
      <alignment vertical="center"/>
    </xf>
    <xf numFmtId="3" fontId="7" fillId="0" borderId="2" xfId="0" applyNumberFormat="1" applyFont="1" applyBorder="1"/>
    <xf numFmtId="0" fontId="7" fillId="7" borderId="21" xfId="0" applyFont="1" applyFill="1" applyBorder="1" applyAlignment="1">
      <alignment vertical="center"/>
    </xf>
    <xf numFmtId="0" fontId="22" fillId="7" borderId="14" xfId="0" applyFont="1" applyFill="1" applyBorder="1" applyAlignment="1">
      <alignment vertical="center"/>
    </xf>
    <xf numFmtId="0" fontId="22" fillId="7" borderId="14" xfId="0" quotePrefix="1" applyFont="1" applyFill="1" applyBorder="1" applyAlignment="1">
      <alignment vertical="center" wrapText="1"/>
    </xf>
    <xf numFmtId="171" fontId="7" fillId="4" borderId="10" xfId="0" applyNumberFormat="1" applyFont="1" applyFill="1" applyBorder="1"/>
    <xf numFmtId="170" fontId="7" fillId="5" borderId="28" xfId="0" applyNumberFormat="1" applyFont="1" applyFill="1" applyBorder="1" applyAlignment="1">
      <alignment vertical="center"/>
    </xf>
    <xf numFmtId="3" fontId="7" fillId="5" borderId="13" xfId="0" applyNumberFormat="1" applyFont="1" applyFill="1" applyBorder="1" applyAlignment="1">
      <alignment vertical="center"/>
    </xf>
    <xf numFmtId="0" fontId="22" fillId="5" borderId="14" xfId="0" quotePrefix="1" applyFont="1" applyFill="1" applyBorder="1" applyAlignment="1">
      <alignment vertical="center"/>
    </xf>
    <xf numFmtId="0" fontId="7" fillId="8" borderId="11" xfId="0" applyFont="1" applyFill="1" applyBorder="1" applyAlignment="1">
      <alignment horizontal="center" vertical="top"/>
    </xf>
    <xf numFmtId="3" fontId="7" fillId="5" borderId="26" xfId="0" applyNumberFormat="1" applyFont="1" applyFill="1" applyBorder="1" applyAlignment="1">
      <alignment vertical="center"/>
    </xf>
    <xf numFmtId="169" fontId="7" fillId="7" borderId="29" xfId="0" applyNumberFormat="1" applyFont="1" applyFill="1" applyBorder="1" applyAlignment="1">
      <alignment vertical="center"/>
    </xf>
    <xf numFmtId="4" fontId="7" fillId="5" borderId="0" xfId="0" applyNumberFormat="1" applyFont="1" applyFill="1" applyAlignment="1">
      <alignment vertical="center"/>
    </xf>
    <xf numFmtId="4" fontId="7" fillId="4" borderId="10" xfId="0" applyNumberFormat="1" applyFont="1" applyFill="1" applyBorder="1"/>
    <xf numFmtId="172" fontId="7" fillId="7" borderId="26" xfId="0" applyNumberFormat="1" applyFont="1" applyFill="1" applyBorder="1" applyAlignment="1">
      <alignment vertical="center"/>
    </xf>
    <xf numFmtId="0" fontId="7" fillId="0" borderId="8" xfId="0" applyFont="1" applyBorder="1"/>
    <xf numFmtId="0" fontId="7" fillId="0" borderId="4" xfId="0" applyFont="1" applyBorder="1"/>
    <xf numFmtId="0" fontId="7" fillId="0" borderId="5" xfId="0" applyFont="1" applyBorder="1"/>
    <xf numFmtId="4" fontId="7" fillId="7" borderId="13" xfId="0" applyNumberFormat="1" applyFont="1" applyFill="1" applyBorder="1" applyAlignment="1">
      <alignment vertical="center"/>
    </xf>
    <xf numFmtId="0" fontId="22" fillId="7" borderId="14" xfId="0" quotePrefix="1" applyFont="1" applyFill="1" applyBorder="1" applyAlignment="1">
      <alignment vertical="center"/>
    </xf>
    <xf numFmtId="169" fontId="7" fillId="7" borderId="26" xfId="0" applyNumberFormat="1" applyFont="1" applyFill="1" applyBorder="1" applyAlignment="1">
      <alignment vertical="center"/>
    </xf>
    <xf numFmtId="3" fontId="7" fillId="5" borderId="27" xfId="0" applyNumberFormat="1" applyFont="1" applyFill="1" applyBorder="1" applyAlignment="1">
      <alignment vertical="center"/>
    </xf>
    <xf numFmtId="0" fontId="22" fillId="0" borderId="0" xfId="0" applyFont="1"/>
    <xf numFmtId="0" fontId="25" fillId="5" borderId="0" xfId="0" applyFont="1" applyFill="1" applyAlignment="1">
      <alignment horizontal="left" vertical="center" indent="1"/>
    </xf>
    <xf numFmtId="0" fontId="7" fillId="5" borderId="0" xfId="0" applyFont="1" applyFill="1" applyAlignment="1">
      <alignment vertical="center"/>
    </xf>
    <xf numFmtId="0" fontId="18" fillId="8" borderId="9" xfId="0" applyFont="1" applyFill="1" applyBorder="1"/>
    <xf numFmtId="0" fontId="7" fillId="8" borderId="9" xfId="0" applyFont="1" applyFill="1" applyBorder="1" applyAlignment="1">
      <alignment horizontal="center" vertical="top" wrapText="1"/>
    </xf>
    <xf numFmtId="0" fontId="7" fillId="7" borderId="9" xfId="0" applyFont="1" applyFill="1" applyBorder="1" applyAlignment="1">
      <alignment vertical="center"/>
    </xf>
    <xf numFmtId="3" fontId="7" fillId="7" borderId="9" xfId="0" applyNumberFormat="1" applyFont="1" applyFill="1" applyBorder="1" applyAlignment="1">
      <alignment horizontal="right" vertical="center"/>
    </xf>
    <xf numFmtId="0" fontId="22" fillId="7" borderId="11" xfId="0" applyFont="1" applyFill="1" applyBorder="1" applyAlignment="1">
      <alignment vertical="center"/>
    </xf>
    <xf numFmtId="0" fontId="7" fillId="5" borderId="19" xfId="0" applyFont="1" applyFill="1" applyBorder="1" applyAlignment="1">
      <alignment vertical="center"/>
    </xf>
    <xf numFmtId="3" fontId="7" fillId="5" borderId="19" xfId="0" applyNumberFormat="1" applyFont="1" applyFill="1" applyBorder="1" applyAlignment="1">
      <alignment horizontal="right" vertical="center"/>
    </xf>
    <xf numFmtId="0" fontId="7" fillId="7" borderId="19" xfId="0" applyFont="1" applyFill="1" applyBorder="1" applyAlignment="1">
      <alignment vertical="center"/>
    </xf>
    <xf numFmtId="3" fontId="7" fillId="7" borderId="19" xfId="0" applyNumberFormat="1" applyFont="1" applyFill="1" applyBorder="1" applyAlignment="1">
      <alignment horizontal="right" vertical="center"/>
    </xf>
    <xf numFmtId="0" fontId="22" fillId="5" borderId="20" xfId="0" applyFont="1" applyFill="1" applyBorder="1" applyAlignment="1">
      <alignment vertical="center" wrapText="1"/>
    </xf>
    <xf numFmtId="172" fontId="7" fillId="7" borderId="19" xfId="0" applyNumberFormat="1" applyFont="1" applyFill="1" applyBorder="1" applyAlignment="1">
      <alignment horizontal="right" vertical="center"/>
    </xf>
    <xf numFmtId="0" fontId="7" fillId="5" borderId="12" xfId="0" applyFont="1" applyFill="1" applyBorder="1" applyAlignment="1">
      <alignment vertical="center"/>
    </xf>
    <xf numFmtId="0" fontId="7" fillId="5" borderId="12" xfId="0" applyFont="1" applyFill="1" applyBorder="1" applyAlignment="1">
      <alignment horizontal="left" vertical="center"/>
    </xf>
    <xf numFmtId="1" fontId="7" fillId="7" borderId="24" xfId="0" applyNumberFormat="1" applyFont="1" applyFill="1" applyBorder="1" applyAlignment="1">
      <alignment vertical="center"/>
    </xf>
    <xf numFmtId="0" fontId="7" fillId="5" borderId="24" xfId="0" applyFont="1" applyFill="1" applyBorder="1" applyAlignment="1">
      <alignment vertical="center"/>
    </xf>
    <xf numFmtId="166" fontId="7" fillId="5" borderId="24" xfId="2" applyNumberFormat="1" applyFont="1" applyFill="1" applyBorder="1" applyAlignment="1" applyProtection="1">
      <alignment vertical="center"/>
    </xf>
    <xf numFmtId="2" fontId="7" fillId="7" borderId="23" xfId="0" applyNumberFormat="1" applyFont="1" applyFill="1" applyBorder="1" applyAlignment="1">
      <alignment vertical="center"/>
    </xf>
    <xf numFmtId="0" fontId="22" fillId="5" borderId="21" xfId="0" applyFont="1" applyFill="1" applyBorder="1" applyAlignment="1">
      <alignment vertical="center"/>
    </xf>
    <xf numFmtId="0" fontId="7" fillId="5" borderId="10" xfId="0" applyFont="1" applyFill="1" applyBorder="1" applyAlignment="1">
      <alignment vertical="center"/>
    </xf>
    <xf numFmtId="0" fontId="7" fillId="5" borderId="30" xfId="0" applyFont="1" applyFill="1" applyBorder="1" applyAlignment="1">
      <alignment vertical="center"/>
    </xf>
    <xf numFmtId="0" fontId="22" fillId="5" borderId="10" xfId="0" quotePrefix="1" applyFont="1" applyFill="1" applyBorder="1" applyAlignment="1">
      <alignment vertical="center"/>
    </xf>
    <xf numFmtId="3" fontId="7" fillId="5" borderId="24" xfId="0" applyNumberFormat="1" applyFont="1" applyFill="1" applyBorder="1" applyAlignment="1">
      <alignment vertical="center"/>
    </xf>
    <xf numFmtId="0" fontId="7" fillId="5" borderId="28" xfId="0" applyFont="1" applyFill="1" applyBorder="1" applyAlignment="1">
      <alignment vertical="center"/>
    </xf>
    <xf numFmtId="0" fontId="22" fillId="5" borderId="0" xfId="0" quotePrefix="1" applyFont="1" applyFill="1" applyAlignment="1">
      <alignment vertical="center"/>
    </xf>
    <xf numFmtId="4" fontId="7" fillId="5" borderId="30" xfId="0" applyNumberFormat="1" applyFont="1" applyFill="1" applyBorder="1" applyAlignment="1">
      <alignment horizontal="right" vertical="center"/>
    </xf>
    <xf numFmtId="0" fontId="22" fillId="5" borderId="10" xfId="0" applyFont="1" applyFill="1" applyBorder="1" applyAlignment="1">
      <alignment vertical="center"/>
    </xf>
    <xf numFmtId="0" fontId="18" fillId="0" borderId="0" xfId="0" applyFont="1"/>
    <xf numFmtId="165" fontId="7" fillId="0" borderId="0" xfId="0" applyNumberFormat="1" applyFont="1"/>
    <xf numFmtId="166" fontId="7" fillId="2" borderId="0" xfId="2" applyNumberFormat="1" applyFont="1" applyFill="1" applyBorder="1" applyAlignment="1" applyProtection="1">
      <alignment vertical="center"/>
      <protection locked="0"/>
    </xf>
    <xf numFmtId="166" fontId="7" fillId="2" borderId="12" xfId="2" applyNumberFormat="1" applyFont="1" applyFill="1" applyBorder="1" applyAlignment="1" applyProtection="1">
      <alignment vertical="center"/>
      <protection locked="0"/>
    </xf>
    <xf numFmtId="172" fontId="7" fillId="2" borderId="12" xfId="0" applyNumberFormat="1" applyFont="1" applyFill="1" applyBorder="1" applyAlignment="1" applyProtection="1">
      <alignment horizontal="right" vertical="center"/>
      <protection locked="0"/>
    </xf>
    <xf numFmtId="0" fontId="7" fillId="0" borderId="19" xfId="0" applyFont="1" applyBorder="1" applyAlignment="1">
      <alignment vertical="center"/>
    </xf>
    <xf numFmtId="0" fontId="22" fillId="0" borderId="20" xfId="0" applyFont="1" applyBorder="1" applyAlignment="1">
      <alignment vertical="center"/>
    </xf>
    <xf numFmtId="0" fontId="7" fillId="7" borderId="24" xfId="0" applyFont="1" applyFill="1" applyBorder="1" applyAlignment="1">
      <alignment vertical="center"/>
    </xf>
    <xf numFmtId="0" fontId="22" fillId="5" borderId="18" xfId="0" applyFont="1" applyFill="1" applyBorder="1" applyAlignment="1">
      <alignment vertical="center"/>
    </xf>
    <xf numFmtId="0" fontId="7" fillId="7" borderId="18" xfId="0" quotePrefix="1" applyFont="1" applyFill="1" applyBorder="1" applyAlignment="1">
      <alignment vertical="center"/>
    </xf>
    <xf numFmtId="0" fontId="22" fillId="7" borderId="18" xfId="0" quotePrefix="1" applyFont="1" applyFill="1" applyBorder="1" applyAlignment="1">
      <alignment vertical="center"/>
    </xf>
    <xf numFmtId="0" fontId="7" fillId="0" borderId="18" xfId="0" quotePrefix="1" applyFont="1" applyBorder="1" applyAlignment="1">
      <alignment vertical="center"/>
    </xf>
    <xf numFmtId="0" fontId="22" fillId="0" borderId="18" xfId="0" quotePrefix="1" applyFont="1" applyBorder="1" applyAlignment="1">
      <alignment vertical="center"/>
    </xf>
    <xf numFmtId="0" fontId="25" fillId="0" borderId="18" xfId="0" applyFont="1" applyBorder="1" applyAlignment="1">
      <alignment horizontal="left" vertical="center" indent="1"/>
    </xf>
    <xf numFmtId="9" fontId="7" fillId="0" borderId="19" xfId="0" applyNumberFormat="1" applyFont="1" applyBorder="1" applyAlignment="1">
      <alignment vertical="center"/>
    </xf>
    <xf numFmtId="0" fontId="22" fillId="0" borderId="18" xfId="0" applyFont="1" applyBorder="1" applyAlignment="1">
      <alignment vertical="center"/>
    </xf>
    <xf numFmtId="9" fontId="7" fillId="7" borderId="19" xfId="0" applyNumberFormat="1" applyFont="1" applyFill="1" applyBorder="1" applyAlignment="1">
      <alignment vertical="center"/>
    </xf>
    <xf numFmtId="0" fontId="22" fillId="7" borderId="18" xfId="0" applyFont="1" applyFill="1" applyBorder="1" applyAlignment="1">
      <alignment vertical="center"/>
    </xf>
    <xf numFmtId="42" fontId="7" fillId="7" borderId="19" xfId="0" applyNumberFormat="1" applyFont="1" applyFill="1" applyBorder="1" applyAlignment="1">
      <alignment vertical="center"/>
    </xf>
    <xf numFmtId="44" fontId="7" fillId="0" borderId="0" xfId="0" applyNumberFormat="1" applyFont="1"/>
    <xf numFmtId="0" fontId="25" fillId="7" borderId="22" xfId="0" applyFont="1" applyFill="1" applyBorder="1" applyAlignment="1">
      <alignment horizontal="left" vertical="center" indent="1"/>
    </xf>
    <xf numFmtId="0" fontId="22" fillId="7" borderId="18" xfId="0" applyFont="1" applyFill="1" applyBorder="1" applyAlignment="1">
      <alignment vertical="center" wrapText="1"/>
    </xf>
    <xf numFmtId="0" fontId="25" fillId="7" borderId="25" xfId="0" applyFont="1" applyFill="1" applyBorder="1" applyAlignment="1">
      <alignment horizontal="left" vertical="center" indent="1"/>
    </xf>
    <xf numFmtId="0" fontId="25" fillId="5" borderId="22" xfId="0" applyFont="1" applyFill="1" applyBorder="1" applyAlignment="1">
      <alignment horizontal="left" vertical="center" indent="1"/>
    </xf>
    <xf numFmtId="0" fontId="32" fillId="7" borderId="22" xfId="0" applyFont="1" applyFill="1" applyBorder="1" applyAlignment="1">
      <alignment horizontal="left" vertical="center" indent="1"/>
    </xf>
    <xf numFmtId="0" fontId="32" fillId="7" borderId="22" xfId="0" applyFont="1" applyFill="1" applyBorder="1" applyAlignment="1">
      <alignment horizontal="right" vertical="center" indent="1"/>
    </xf>
    <xf numFmtId="172" fontId="7" fillId="7" borderId="19" xfId="2" applyNumberFormat="1" applyFont="1" applyFill="1" applyBorder="1" applyAlignment="1" applyProtection="1">
      <alignment vertical="center"/>
    </xf>
    <xf numFmtId="9" fontId="7" fillId="5" borderId="19" xfId="0" applyNumberFormat="1" applyFont="1" applyFill="1" applyBorder="1" applyAlignment="1">
      <alignment vertical="center"/>
    </xf>
    <xf numFmtId="0" fontId="32" fillId="7" borderId="21" xfId="0" applyFont="1" applyFill="1" applyBorder="1" applyAlignment="1">
      <alignment horizontal="left" vertical="center"/>
    </xf>
    <xf numFmtId="10" fontId="7" fillId="7" borderId="13" xfId="0" applyNumberFormat="1" applyFont="1" applyFill="1" applyBorder="1"/>
    <xf numFmtId="0" fontId="7" fillId="7" borderId="13" xfId="0" applyFont="1" applyFill="1" applyBorder="1"/>
    <xf numFmtId="0" fontId="22" fillId="7" borderId="21" xfId="0" quotePrefix="1" applyFont="1" applyFill="1" applyBorder="1"/>
    <xf numFmtId="0" fontId="7" fillId="0" borderId="19" xfId="0" applyFont="1" applyBorder="1"/>
    <xf numFmtId="0" fontId="7" fillId="4" borderId="1" xfId="0" applyFont="1" applyFill="1" applyBorder="1"/>
    <xf numFmtId="0" fontId="5" fillId="0" borderId="7" xfId="0" applyFont="1" applyBorder="1"/>
    <xf numFmtId="0" fontId="5" fillId="0" borderId="0" xfId="0" applyFont="1"/>
    <xf numFmtId="164" fontId="5" fillId="3" borderId="0" xfId="0" applyNumberFormat="1" applyFont="1" applyFill="1"/>
    <xf numFmtId="0" fontId="5" fillId="3" borderId="0" xfId="0" applyFont="1" applyFill="1"/>
    <xf numFmtId="2" fontId="5" fillId="3" borderId="0" xfId="0" applyNumberFormat="1" applyFont="1" applyFill="1"/>
    <xf numFmtId="164" fontId="5" fillId="5" borderId="0" xfId="0" applyNumberFormat="1" applyFont="1" applyFill="1"/>
    <xf numFmtId="0" fontId="5" fillId="5" borderId="0" xfId="0" applyFont="1" applyFill="1"/>
    <xf numFmtId="2" fontId="5" fillId="5" borderId="0" xfId="0" applyNumberFormat="1" applyFont="1" applyFill="1"/>
    <xf numFmtId="1" fontId="5" fillId="0" borderId="0" xfId="0" applyNumberFormat="1" applyFont="1"/>
    <xf numFmtId="3" fontId="5" fillId="0" borderId="0" xfId="0" applyNumberFormat="1" applyFont="1"/>
    <xf numFmtId="164" fontId="5" fillId="0" borderId="0" xfId="0" applyNumberFormat="1" applyFont="1"/>
    <xf numFmtId="0" fontId="5" fillId="0" borderId="7" xfId="0" applyFont="1" applyBorder="1" applyAlignment="1">
      <alignment horizontal="left" vertical="center"/>
    </xf>
    <xf numFmtId="0" fontId="0" fillId="0" borderId="0" xfId="0" applyAlignment="1">
      <alignment horizontal="left"/>
    </xf>
    <xf numFmtId="0" fontId="0" fillId="0" borderId="0" xfId="0" applyAlignment="1">
      <alignment horizontal="center"/>
    </xf>
    <xf numFmtId="9" fontId="38" fillId="0" borderId="0" xfId="2" applyFont="1" applyFill="1" applyBorder="1" applyAlignment="1" applyProtection="1">
      <alignment horizontal="left"/>
    </xf>
    <xf numFmtId="9" fontId="39" fillId="0" borderId="0" xfId="2" applyFont="1" applyFill="1" applyBorder="1" applyAlignment="1" applyProtection="1">
      <alignment horizontal="center"/>
    </xf>
    <xf numFmtId="0" fontId="38" fillId="0" borderId="0" xfId="0" applyFont="1" applyAlignment="1">
      <alignment horizontal="left"/>
    </xf>
    <xf numFmtId="164" fontId="0" fillId="0" borderId="0" xfId="0" applyNumberFormat="1" applyAlignment="1">
      <alignment horizontal="center"/>
    </xf>
    <xf numFmtId="1" fontId="0" fillId="0" borderId="0" xfId="0" applyNumberFormat="1" applyAlignment="1">
      <alignment horizontal="center"/>
    </xf>
    <xf numFmtId="1" fontId="0" fillId="0" borderId="0" xfId="0" applyNumberFormat="1" applyAlignment="1">
      <alignment horizontal="left"/>
    </xf>
    <xf numFmtId="9" fontId="5" fillId="0" borderId="0" xfId="0" applyNumberFormat="1" applyFont="1" applyAlignment="1">
      <alignment horizontal="center" vertical="center"/>
    </xf>
    <xf numFmtId="9" fontId="5" fillId="0" borderId="0" xfId="0" applyNumberFormat="1" applyFont="1" applyAlignment="1">
      <alignment horizontal="center"/>
    </xf>
    <xf numFmtId="0" fontId="0" fillId="0" borderId="7" xfId="0" applyBorder="1" applyAlignment="1">
      <alignment horizontal="center"/>
    </xf>
    <xf numFmtId="0" fontId="1" fillId="0" borderId="0" xfId="0" applyFont="1" applyAlignment="1">
      <alignment horizontal="center" wrapText="1"/>
    </xf>
    <xf numFmtId="172" fontId="0" fillId="0" borderId="0" xfId="0" applyNumberFormat="1" applyAlignment="1">
      <alignment horizontal="center"/>
    </xf>
    <xf numFmtId="4" fontId="0" fillId="0" borderId="0" xfId="0" applyNumberFormat="1" applyAlignment="1">
      <alignment horizontal="center"/>
    </xf>
    <xf numFmtId="0" fontId="0" fillId="0" borderId="8" xfId="0" applyBorder="1" applyAlignment="1">
      <alignment horizontal="center"/>
    </xf>
    <xf numFmtId="172" fontId="0" fillId="0" borderId="4" xfId="0" applyNumberFormat="1" applyBorder="1" applyAlignment="1">
      <alignment horizontal="center"/>
    </xf>
    <xf numFmtId="0" fontId="5" fillId="0" borderId="4" xfId="0" applyFont="1" applyBorder="1"/>
    <xf numFmtId="4" fontId="5" fillId="0" borderId="4" xfId="0" applyNumberFormat="1" applyFont="1" applyBorder="1" applyAlignment="1">
      <alignment horizontal="center" vertical="center"/>
    </xf>
    <xf numFmtId="42" fontId="7" fillId="2" borderId="19" xfId="0" applyNumberFormat="1" applyFont="1" applyFill="1" applyBorder="1" applyAlignment="1" applyProtection="1">
      <alignment vertical="center"/>
      <protection locked="0"/>
    </xf>
    <xf numFmtId="4" fontId="7" fillId="2" borderId="19" xfId="2" applyNumberFormat="1" applyFont="1" applyFill="1" applyBorder="1" applyAlignment="1" applyProtection="1">
      <alignment vertical="center"/>
      <protection locked="0"/>
    </xf>
    <xf numFmtId="3" fontId="7" fillId="2" borderId="19" xfId="2" applyNumberFormat="1" applyFont="1" applyFill="1" applyBorder="1" applyAlignment="1" applyProtection="1">
      <alignment vertical="center"/>
      <protection locked="0"/>
    </xf>
    <xf numFmtId="9" fontId="7" fillId="2" borderId="19" xfId="0" applyNumberFormat="1" applyFont="1" applyFill="1" applyBorder="1" applyAlignment="1" applyProtection="1">
      <alignment vertical="center"/>
      <protection locked="0"/>
    </xf>
    <xf numFmtId="0" fontId="7" fillId="2" borderId="33" xfId="0" applyFont="1" applyFill="1" applyBorder="1" applyProtection="1">
      <protection locked="0"/>
    </xf>
    <xf numFmtId="3" fontId="7" fillId="2" borderId="33" xfId="0" applyNumberFormat="1" applyFont="1" applyFill="1" applyBorder="1" applyProtection="1">
      <protection locked="0"/>
    </xf>
    <xf numFmtId="0" fontId="9" fillId="0" borderId="0" xfId="4" applyFont="1" applyAlignment="1">
      <alignment horizontal="left" vertical="center" wrapText="1"/>
    </xf>
    <xf numFmtId="168" fontId="10" fillId="0" borderId="0" xfId="4" applyNumberFormat="1" applyFont="1" applyAlignment="1">
      <alignment horizontal="left" vertical="center"/>
    </xf>
    <xf numFmtId="168" fontId="12" fillId="0" borderId="0" xfId="4" quotePrefix="1" applyNumberFormat="1" applyFont="1" applyAlignment="1">
      <alignment horizontal="left" vertical="center"/>
    </xf>
    <xf numFmtId="168" fontId="12" fillId="0" borderId="0" xfId="4" applyNumberFormat="1" applyFont="1" applyAlignment="1">
      <alignment horizontal="left" vertical="center"/>
    </xf>
    <xf numFmtId="0" fontId="8" fillId="0" borderId="0" xfId="4" applyFont="1" applyAlignment="1">
      <alignment horizontal="left" vertical="top" wrapText="1"/>
    </xf>
    <xf numFmtId="0" fontId="7" fillId="5" borderId="19" xfId="0" applyFont="1" applyFill="1" applyBorder="1" applyAlignment="1">
      <alignment horizontal="left" vertical="center" wrapText="1"/>
    </xf>
    <xf numFmtId="0" fontId="7" fillId="5" borderId="20" xfId="0" applyFont="1" applyFill="1" applyBorder="1" applyAlignment="1">
      <alignment horizontal="left" vertical="center" wrapText="1"/>
    </xf>
    <xf numFmtId="0" fontId="17" fillId="11" borderId="9" xfId="0" applyFont="1" applyFill="1" applyBorder="1" applyAlignment="1">
      <alignment horizontal="left" vertical="center"/>
    </xf>
    <xf numFmtId="0" fontId="17" fillId="11" borderId="11" xfId="0" applyFont="1" applyFill="1" applyBorder="1" applyAlignment="1">
      <alignment horizontal="left" vertical="center"/>
    </xf>
    <xf numFmtId="0" fontId="7" fillId="7" borderId="12" xfId="0" applyFont="1" applyFill="1" applyBorder="1" applyAlignment="1">
      <alignment horizontal="left" vertical="center" wrapText="1"/>
    </xf>
    <xf numFmtId="0" fontId="7" fillId="7" borderId="14" xfId="0" applyFont="1" applyFill="1" applyBorder="1" applyAlignment="1">
      <alignment horizontal="left" vertical="center" wrapText="1"/>
    </xf>
    <xf numFmtId="0" fontId="7" fillId="7" borderId="19" xfId="0" applyFont="1" applyFill="1" applyBorder="1" applyAlignment="1">
      <alignment horizontal="left" vertical="center" wrapText="1"/>
    </xf>
    <xf numFmtId="0" fontId="7" fillId="7" borderId="20" xfId="0" applyFont="1" applyFill="1" applyBorder="1" applyAlignment="1">
      <alignment horizontal="left" vertical="center" wrapText="1"/>
    </xf>
    <xf numFmtId="0" fontId="18" fillId="11" borderId="9" xfId="0" applyFont="1" applyFill="1" applyBorder="1" applyAlignment="1">
      <alignment horizontal="center" vertical="center" wrapText="1"/>
    </xf>
    <xf numFmtId="0" fontId="18" fillId="11" borderId="11" xfId="0" applyFont="1" applyFill="1" applyBorder="1" applyAlignment="1">
      <alignment horizontal="center" vertical="center"/>
    </xf>
    <xf numFmtId="0" fontId="21" fillId="11" borderId="9" xfId="0" applyFont="1" applyFill="1" applyBorder="1" applyAlignment="1">
      <alignment horizontal="left" vertical="center"/>
    </xf>
    <xf numFmtId="0" fontId="21" fillId="11" borderId="10" xfId="0" applyFont="1" applyFill="1" applyBorder="1" applyAlignment="1">
      <alignment horizontal="left" vertical="center"/>
    </xf>
    <xf numFmtId="0" fontId="21" fillId="11" borderId="11" xfId="0" applyFont="1" applyFill="1" applyBorder="1" applyAlignment="1">
      <alignment horizontal="left" vertical="center"/>
    </xf>
    <xf numFmtId="3" fontId="7" fillId="5" borderId="19" xfId="0" applyNumberFormat="1" applyFont="1" applyFill="1" applyBorder="1" applyAlignment="1">
      <alignment horizontal="center" vertical="center"/>
    </xf>
    <xf numFmtId="3" fontId="7" fillId="5" borderId="20" xfId="0" applyNumberFormat="1" applyFont="1" applyFill="1" applyBorder="1" applyAlignment="1">
      <alignment horizontal="center" vertical="center"/>
    </xf>
    <xf numFmtId="0" fontId="19" fillId="11" borderId="9" xfId="0" applyFont="1" applyFill="1" applyBorder="1" applyAlignment="1">
      <alignment horizontal="left" vertical="center" wrapText="1"/>
    </xf>
    <xf numFmtId="0" fontId="20" fillId="11" borderId="10" xfId="0" applyFont="1" applyFill="1" applyBorder="1" applyAlignment="1">
      <alignment horizontal="left" vertical="center"/>
    </xf>
    <xf numFmtId="0" fontId="18" fillId="0" borderId="9" xfId="0" applyFont="1" applyBorder="1" applyAlignment="1">
      <alignment horizontal="left" vertical="center" wrapText="1"/>
    </xf>
    <xf numFmtId="0" fontId="18" fillId="0" borderId="12" xfId="0" applyFont="1" applyBorder="1" applyAlignment="1">
      <alignment horizontal="left" vertical="center" wrapText="1"/>
    </xf>
    <xf numFmtId="0" fontId="21" fillId="10" borderId="19" xfId="0" applyFont="1" applyFill="1" applyBorder="1" applyAlignment="1">
      <alignment horizontal="center" vertical="center" wrapText="1"/>
    </xf>
    <xf numFmtId="0" fontId="21" fillId="10" borderId="20" xfId="0" applyFont="1" applyFill="1" applyBorder="1" applyAlignment="1">
      <alignment horizontal="center" vertical="center" wrapText="1"/>
    </xf>
    <xf numFmtId="0" fontId="22" fillId="10" borderId="0" xfId="0" applyFont="1" applyFill="1" applyAlignment="1">
      <alignment horizontal="center" vertical="center" wrapText="1"/>
    </xf>
    <xf numFmtId="0" fontId="22" fillId="10" borderId="20" xfId="0" applyFont="1" applyFill="1" applyBorder="1" applyAlignment="1">
      <alignment horizontal="center" vertical="center" wrapText="1"/>
    </xf>
    <xf numFmtId="0" fontId="17" fillId="11" borderId="15" xfId="0" applyFont="1" applyFill="1" applyBorder="1" applyAlignment="1">
      <alignment horizontal="left" vertical="center"/>
    </xf>
    <xf numFmtId="0" fontId="17" fillId="11" borderId="35" xfId="0" applyFont="1" applyFill="1" applyBorder="1" applyAlignment="1">
      <alignment horizontal="left" vertical="center"/>
    </xf>
    <xf numFmtId="0" fontId="18" fillId="5" borderId="15" xfId="0" applyFont="1" applyFill="1" applyBorder="1" applyAlignment="1">
      <alignment horizontal="left" vertical="center"/>
    </xf>
    <xf numFmtId="0" fontId="7" fillId="5" borderId="35" xfId="0" applyFont="1" applyFill="1" applyBorder="1" applyAlignment="1">
      <alignment horizontal="left" vertical="center"/>
    </xf>
    <xf numFmtId="0" fontId="18" fillId="15" borderId="15" xfId="0" applyFont="1" applyFill="1" applyBorder="1" applyAlignment="1">
      <alignment horizontal="left" vertical="center"/>
    </xf>
    <xf numFmtId="0" fontId="7" fillId="15" borderId="35" xfId="0" applyFont="1" applyFill="1" applyBorder="1" applyAlignment="1">
      <alignment horizontal="left" vertical="center"/>
    </xf>
    <xf numFmtId="0" fontId="18" fillId="8" borderId="12" xfId="0" applyFont="1" applyFill="1" applyBorder="1" applyAlignment="1">
      <alignment horizontal="left" vertical="center"/>
    </xf>
    <xf numFmtId="0" fontId="18" fillId="8" borderId="14" xfId="0" applyFont="1" applyFill="1" applyBorder="1" applyAlignment="1">
      <alignment horizontal="left" vertical="center"/>
    </xf>
    <xf numFmtId="0" fontId="7" fillId="15" borderId="19" xfId="0" applyFont="1" applyFill="1" applyBorder="1" applyAlignment="1">
      <alignment horizontal="left" vertical="center" wrapText="1"/>
    </xf>
    <xf numFmtId="0" fontId="7" fillId="15" borderId="20" xfId="0" applyFont="1" applyFill="1" applyBorder="1" applyAlignment="1">
      <alignment horizontal="left" vertical="center" wrapText="1"/>
    </xf>
    <xf numFmtId="0" fontId="7" fillId="7" borderId="15" xfId="0" applyFont="1" applyFill="1" applyBorder="1" applyAlignment="1">
      <alignment horizontal="left" vertical="center"/>
    </xf>
    <xf numFmtId="0" fontId="7" fillId="7" borderId="35" xfId="0" applyFont="1" applyFill="1" applyBorder="1" applyAlignment="1">
      <alignment horizontal="left" vertical="center"/>
    </xf>
    <xf numFmtId="0" fontId="7" fillId="5" borderId="15" xfId="0" applyFont="1" applyFill="1" applyBorder="1" applyAlignment="1">
      <alignment horizontal="left" vertical="center"/>
    </xf>
    <xf numFmtId="0" fontId="17" fillId="11" borderId="16" xfId="0" applyFont="1" applyFill="1" applyBorder="1" applyAlignment="1">
      <alignment horizontal="left" vertical="center"/>
    </xf>
    <xf numFmtId="0" fontId="18" fillId="0" borderId="17" xfId="0" applyFont="1" applyBorder="1" applyAlignment="1">
      <alignment horizontal="left" vertical="center"/>
    </xf>
    <xf numFmtId="0" fontId="18" fillId="0" borderId="21" xfId="0" applyFont="1" applyBorder="1" applyAlignment="1">
      <alignment horizontal="left" vertical="center"/>
    </xf>
    <xf numFmtId="0" fontId="22" fillId="0" borderId="17" xfId="0" applyFont="1" applyBorder="1" applyAlignment="1">
      <alignment horizontal="left" vertical="top" wrapText="1"/>
    </xf>
    <xf numFmtId="0" fontId="22" fillId="0" borderId="18" xfId="0" applyFont="1" applyBorder="1" applyAlignment="1">
      <alignment horizontal="left" vertical="top" wrapText="1"/>
    </xf>
    <xf numFmtId="0" fontId="7" fillId="0" borderId="10" xfId="0" applyFont="1" applyBorder="1" applyAlignment="1">
      <alignment horizontal="left" wrapText="1"/>
    </xf>
    <xf numFmtId="0" fontId="21" fillId="0" borderId="18" xfId="0" applyFont="1" applyBorder="1" applyAlignment="1">
      <alignment horizontal="left" wrapText="1"/>
    </xf>
    <xf numFmtId="0" fontId="31" fillId="5" borderId="10" xfId="0" applyFont="1" applyFill="1" applyBorder="1" applyAlignment="1">
      <alignment horizontal="left" wrapText="1"/>
    </xf>
    <xf numFmtId="0" fontId="18" fillId="0" borderId="9" xfId="0" applyFont="1" applyBorder="1" applyAlignment="1">
      <alignment horizontal="center" vertical="center" wrapText="1"/>
    </xf>
    <xf numFmtId="0" fontId="18" fillId="0" borderId="12" xfId="0" applyFont="1" applyBorder="1" applyAlignment="1">
      <alignment horizontal="center" vertical="center" wrapText="1"/>
    </xf>
    <xf numFmtId="0" fontId="18" fillId="9" borderId="0" xfId="0" applyFont="1" applyFill="1" applyAlignment="1">
      <alignment horizontal="center" vertical="center" wrapText="1"/>
    </xf>
    <xf numFmtId="0" fontId="7" fillId="7" borderId="0" xfId="0" applyFont="1" applyFill="1" applyAlignment="1">
      <alignment horizontal="center" vertical="center" wrapText="1"/>
    </xf>
    <xf numFmtId="0" fontId="7" fillId="7" borderId="0" xfId="0" applyFont="1" applyFill="1" applyAlignment="1">
      <alignment horizontal="center" vertical="center"/>
    </xf>
    <xf numFmtId="0" fontId="34" fillId="10" borderId="0" xfId="0" applyFont="1" applyFill="1" applyAlignment="1">
      <alignment horizontal="right" vertical="center" wrapText="1"/>
    </xf>
    <xf numFmtId="0" fontId="35" fillId="5" borderId="31" xfId="0" applyFont="1" applyFill="1" applyBorder="1" applyAlignment="1">
      <alignment horizontal="right" vertical="center" wrapText="1"/>
    </xf>
    <xf numFmtId="0" fontId="18" fillId="7" borderId="0" xfId="0" applyFont="1" applyFill="1" applyAlignment="1">
      <alignment horizontal="center" vertical="center" wrapText="1"/>
    </xf>
    <xf numFmtId="0" fontId="18" fillId="0" borderId="17" xfId="0" applyFont="1" applyBorder="1" applyAlignment="1">
      <alignment horizontal="center" vertical="center" wrapText="1"/>
    </xf>
    <xf numFmtId="0" fontId="18" fillId="0" borderId="21" xfId="0" applyFont="1" applyBorder="1" applyAlignment="1">
      <alignment horizontal="center" vertical="center" wrapText="1"/>
    </xf>
    <xf numFmtId="0" fontId="36" fillId="6" borderId="0" xfId="0" applyFont="1" applyFill="1" applyAlignment="1">
      <alignment horizontal="center" vertical="center" wrapText="1"/>
    </xf>
    <xf numFmtId="0" fontId="34" fillId="11" borderId="0" xfId="0" applyFont="1" applyFill="1" applyAlignment="1">
      <alignment horizontal="right" vertical="center" wrapText="1"/>
    </xf>
    <xf numFmtId="0" fontId="18" fillId="11" borderId="0" xfId="0" applyFont="1" applyFill="1" applyAlignment="1">
      <alignment horizontal="center" vertical="center" wrapText="1"/>
    </xf>
    <xf numFmtId="0" fontId="18" fillId="11" borderId="10" xfId="0" applyFont="1" applyFill="1" applyBorder="1" applyAlignment="1">
      <alignment horizontal="center" vertical="center"/>
    </xf>
  </cellXfs>
  <cellStyles count="5">
    <cellStyle name="Komma" xfId="1" builtinId="3"/>
    <cellStyle name="Link" xfId="3" builtinId="8"/>
    <cellStyle name="Prozent" xfId="2" builtinId="5"/>
    <cellStyle name="Standard" xfId="0" builtinId="0"/>
    <cellStyle name="Standard 3" xfId="4" xr:uid="{E4F4928B-DD99-459B-A1E6-957B7A9958F1}"/>
  </cellStyles>
  <dxfs count="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'Technical parameters TEMP'!$Q$4</c:f>
          <c:strCache>
            <c:ptCount val="1"/>
            <c:pt idx="0">
              <c:v>Temperature (Kelvin) at tubing head: evolution over time and fluid circulation rate</c:v>
            </c:pt>
          </c:strCache>
        </c:strRef>
      </c:tx>
      <c:overlay val="0"/>
      <c:spPr>
        <a:noFill/>
        <a:ln>
          <a:noFill/>
        </a:ln>
        <a:effectLst/>
      </c:spPr>
      <c:txPr>
        <a:bodyPr rot="0" spcFirstLastPara="1" vertOverflow="ellipsis" vert="horz" wrap="square" anchor="ctr" anchorCtr="1"/>
        <a:lstStyle/>
        <a:p>
          <a:pPr>
            <a:defRPr sz="168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scatterChart>
        <c:scatterStyle val="smoothMarker"/>
        <c:varyColors val="0"/>
        <c:ser>
          <c:idx val="0"/>
          <c:order val="0"/>
          <c:tx>
            <c:strRef>
              <c:f>'Technical parameters TEMP'!$AC$7</c:f>
              <c:strCache>
                <c:ptCount val="1"/>
                <c:pt idx="0">
                  <c:v>1 kg/s</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'Technical parameters TEMP'!$T$5:$AB$5</c:f>
              <c:numCache>
                <c:formatCode>General</c:formatCode>
                <c:ptCount val="9"/>
                <c:pt idx="0">
                  <c:v>1.9230769230769232E-2</c:v>
                </c:pt>
                <c:pt idx="1">
                  <c:v>7.6923076923076927E-2</c:v>
                </c:pt>
                <c:pt idx="2">
                  <c:v>0.23076923076923078</c:v>
                </c:pt>
                <c:pt idx="3">
                  <c:v>0.5</c:v>
                </c:pt>
                <c:pt idx="4">
                  <c:v>1</c:v>
                </c:pt>
                <c:pt idx="5">
                  <c:v>3</c:v>
                </c:pt>
                <c:pt idx="6">
                  <c:v>10</c:v>
                </c:pt>
                <c:pt idx="7">
                  <c:v>20</c:v>
                </c:pt>
                <c:pt idx="8">
                  <c:v>40</c:v>
                </c:pt>
              </c:numCache>
            </c:numRef>
          </c:xVal>
          <c:yVal>
            <c:numRef>
              <c:f>'Technical parameters TEMP'!$T$7:$AB$7</c:f>
              <c:numCache>
                <c:formatCode>0</c:formatCode>
                <c:ptCount val="9"/>
                <c:pt idx="0">
                  <c:v>474</c:v>
                </c:pt>
                <c:pt idx="1">
                  <c:v>474</c:v>
                </c:pt>
                <c:pt idx="2">
                  <c:v>474</c:v>
                </c:pt>
                <c:pt idx="3">
                  <c:v>474</c:v>
                </c:pt>
                <c:pt idx="4">
                  <c:v>474</c:v>
                </c:pt>
                <c:pt idx="5">
                  <c:v>474</c:v>
                </c:pt>
                <c:pt idx="6">
                  <c:v>474</c:v>
                </c:pt>
                <c:pt idx="7">
                  <c:v>474</c:v>
                </c:pt>
                <c:pt idx="8">
                  <c:v>474</c:v>
                </c:pt>
              </c:numCache>
            </c:numRef>
          </c:yVal>
          <c:smooth val="1"/>
          <c:extLst>
            <c:ext xmlns:c16="http://schemas.microsoft.com/office/drawing/2014/chart" uri="{C3380CC4-5D6E-409C-BE32-E72D297353CC}">
              <c16:uniqueId val="{00000000-DA88-4E78-BF1A-6F3914E36605}"/>
            </c:ext>
          </c:extLst>
        </c:ser>
        <c:ser>
          <c:idx val="1"/>
          <c:order val="1"/>
          <c:tx>
            <c:strRef>
              <c:f>'Technical parameters TEMP'!$AC$8</c:f>
              <c:strCache>
                <c:ptCount val="1"/>
                <c:pt idx="0">
                  <c:v>2 kg/s</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'Technical parameters TEMP'!$T$5:$AB$5</c:f>
              <c:numCache>
                <c:formatCode>General</c:formatCode>
                <c:ptCount val="9"/>
                <c:pt idx="0">
                  <c:v>1.9230769230769232E-2</c:v>
                </c:pt>
                <c:pt idx="1">
                  <c:v>7.6923076923076927E-2</c:v>
                </c:pt>
                <c:pt idx="2">
                  <c:v>0.23076923076923078</c:v>
                </c:pt>
                <c:pt idx="3">
                  <c:v>0.5</c:v>
                </c:pt>
                <c:pt idx="4">
                  <c:v>1</c:v>
                </c:pt>
                <c:pt idx="5">
                  <c:v>3</c:v>
                </c:pt>
                <c:pt idx="6">
                  <c:v>10</c:v>
                </c:pt>
                <c:pt idx="7">
                  <c:v>20</c:v>
                </c:pt>
                <c:pt idx="8">
                  <c:v>40</c:v>
                </c:pt>
              </c:numCache>
            </c:numRef>
          </c:xVal>
          <c:yVal>
            <c:numRef>
              <c:f>'Technical parameters TEMP'!$T$8:$AB$8</c:f>
              <c:numCache>
                <c:formatCode>0</c:formatCode>
                <c:ptCount val="9"/>
                <c:pt idx="0">
                  <c:v>474</c:v>
                </c:pt>
                <c:pt idx="1">
                  <c:v>474</c:v>
                </c:pt>
                <c:pt idx="2">
                  <c:v>473.99999999999989</c:v>
                </c:pt>
                <c:pt idx="3">
                  <c:v>473.9999999999975</c:v>
                </c:pt>
                <c:pt idx="4">
                  <c:v>473.99999999997431</c:v>
                </c:pt>
                <c:pt idx="5">
                  <c:v>473.99999999945095</c:v>
                </c:pt>
                <c:pt idx="6">
                  <c:v>473.99999999182438</c:v>
                </c:pt>
                <c:pt idx="7">
                  <c:v>473.99999996942881</c:v>
                </c:pt>
                <c:pt idx="8">
                  <c:v>473.99999990046928</c:v>
                </c:pt>
              </c:numCache>
            </c:numRef>
          </c:yVal>
          <c:smooth val="1"/>
          <c:extLst>
            <c:ext xmlns:c16="http://schemas.microsoft.com/office/drawing/2014/chart" uri="{C3380CC4-5D6E-409C-BE32-E72D297353CC}">
              <c16:uniqueId val="{00000002-DA88-4E78-BF1A-6F3914E36605}"/>
            </c:ext>
          </c:extLst>
        </c:ser>
        <c:ser>
          <c:idx val="2"/>
          <c:order val="2"/>
          <c:tx>
            <c:strRef>
              <c:f>'Technical parameters TEMP'!$AC$9</c:f>
              <c:strCache>
                <c:ptCount val="1"/>
                <c:pt idx="0">
                  <c:v>5 kg/s</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'Technical parameters TEMP'!$T$5:$AB$5</c:f>
              <c:numCache>
                <c:formatCode>General</c:formatCode>
                <c:ptCount val="9"/>
                <c:pt idx="0">
                  <c:v>1.9230769230769232E-2</c:v>
                </c:pt>
                <c:pt idx="1">
                  <c:v>7.6923076923076927E-2</c:v>
                </c:pt>
                <c:pt idx="2">
                  <c:v>0.23076923076923078</c:v>
                </c:pt>
                <c:pt idx="3">
                  <c:v>0.5</c:v>
                </c:pt>
                <c:pt idx="4">
                  <c:v>1</c:v>
                </c:pt>
                <c:pt idx="5">
                  <c:v>3</c:v>
                </c:pt>
                <c:pt idx="6">
                  <c:v>10</c:v>
                </c:pt>
                <c:pt idx="7">
                  <c:v>20</c:v>
                </c:pt>
                <c:pt idx="8">
                  <c:v>40</c:v>
                </c:pt>
              </c:numCache>
            </c:numRef>
          </c:xVal>
          <c:yVal>
            <c:numRef>
              <c:f>'Technical parameters TEMP'!$T$9:$AB$9</c:f>
              <c:numCache>
                <c:formatCode>0</c:formatCode>
                <c:ptCount val="9"/>
                <c:pt idx="0">
                  <c:v>473.99999979442902</c:v>
                </c:pt>
                <c:pt idx="1">
                  <c:v>473.99998681176612</c:v>
                </c:pt>
                <c:pt idx="2">
                  <c:v>473.99987245523533</c:v>
                </c:pt>
                <c:pt idx="3">
                  <c:v>473.99955256471986</c:v>
                </c:pt>
                <c:pt idx="4">
                  <c:v>473.99884271398378</c:v>
                </c:pt>
                <c:pt idx="5">
                  <c:v>473.99596052179561</c:v>
                </c:pt>
                <c:pt idx="6">
                  <c:v>473.98784975401531</c:v>
                </c:pt>
                <c:pt idx="7">
                  <c:v>473.97920714363812</c:v>
                </c:pt>
                <c:pt idx="8">
                  <c:v>473.96637974225371</c:v>
                </c:pt>
              </c:numCache>
            </c:numRef>
          </c:yVal>
          <c:smooth val="1"/>
          <c:extLst>
            <c:ext xmlns:c16="http://schemas.microsoft.com/office/drawing/2014/chart" uri="{C3380CC4-5D6E-409C-BE32-E72D297353CC}">
              <c16:uniqueId val="{00000004-DA88-4E78-BF1A-6F3914E36605}"/>
            </c:ext>
          </c:extLst>
        </c:ser>
        <c:ser>
          <c:idx val="3"/>
          <c:order val="3"/>
          <c:tx>
            <c:strRef>
              <c:f>'Technical parameters TEMP'!$AC$10</c:f>
              <c:strCache>
                <c:ptCount val="1"/>
                <c:pt idx="0">
                  <c:v>10 kg/s</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'Technical parameters TEMP'!$T$5:$AB$5</c:f>
              <c:numCache>
                <c:formatCode>General</c:formatCode>
                <c:ptCount val="9"/>
                <c:pt idx="0">
                  <c:v>1.9230769230769232E-2</c:v>
                </c:pt>
                <c:pt idx="1">
                  <c:v>7.6923076923076927E-2</c:v>
                </c:pt>
                <c:pt idx="2">
                  <c:v>0.23076923076923078</c:v>
                </c:pt>
                <c:pt idx="3">
                  <c:v>0.5</c:v>
                </c:pt>
                <c:pt idx="4">
                  <c:v>1</c:v>
                </c:pt>
                <c:pt idx="5">
                  <c:v>3</c:v>
                </c:pt>
                <c:pt idx="6">
                  <c:v>10</c:v>
                </c:pt>
                <c:pt idx="7">
                  <c:v>20</c:v>
                </c:pt>
                <c:pt idx="8">
                  <c:v>40</c:v>
                </c:pt>
              </c:numCache>
            </c:numRef>
          </c:xVal>
          <c:yVal>
            <c:numRef>
              <c:f>'Technical parameters TEMP'!$T$10:$AB$10</c:f>
              <c:numCache>
                <c:formatCode>0</c:formatCode>
                <c:ptCount val="9"/>
                <c:pt idx="0">
                  <c:v>473.99429897170586</c:v>
                </c:pt>
                <c:pt idx="1">
                  <c:v>473.9529996842756</c:v>
                </c:pt>
                <c:pt idx="2">
                  <c:v>473.85187361105301</c:v>
                </c:pt>
                <c:pt idx="3">
                  <c:v>473.72072766590895</c:v>
                </c:pt>
                <c:pt idx="4">
                  <c:v>473.54878714684816</c:v>
                </c:pt>
                <c:pt idx="5">
                  <c:v>473.15233126785409</c:v>
                </c:pt>
                <c:pt idx="6">
                  <c:v>472.52342381601215</c:v>
                </c:pt>
                <c:pt idx="7">
                  <c:v>472.06459118880105</c:v>
                </c:pt>
                <c:pt idx="8">
                  <c:v>471.53488740915145</c:v>
                </c:pt>
              </c:numCache>
            </c:numRef>
          </c:yVal>
          <c:smooth val="1"/>
          <c:extLst>
            <c:ext xmlns:c16="http://schemas.microsoft.com/office/drawing/2014/chart" uri="{C3380CC4-5D6E-409C-BE32-E72D297353CC}">
              <c16:uniqueId val="{00000005-DA88-4E78-BF1A-6F3914E36605}"/>
            </c:ext>
          </c:extLst>
        </c:ser>
        <c:ser>
          <c:idx val="4"/>
          <c:order val="4"/>
          <c:tx>
            <c:strRef>
              <c:f>'Technical parameters TEMP'!$AC$11</c:f>
              <c:strCache>
                <c:ptCount val="1"/>
                <c:pt idx="0">
                  <c:v>15 kg/s</c:v>
                </c:pt>
              </c:strCache>
            </c:strRef>
          </c:tx>
          <c:spPr>
            <a:ln w="19050" cap="rnd">
              <a:solidFill>
                <a:schemeClr val="accent5"/>
              </a:solidFill>
              <a:round/>
            </a:ln>
            <a:effectLst/>
          </c:spPr>
          <c:marker>
            <c:symbol val="circle"/>
            <c:size val="5"/>
            <c:spPr>
              <a:solidFill>
                <a:schemeClr val="accent5"/>
              </a:solidFill>
              <a:ln w="9525">
                <a:solidFill>
                  <a:schemeClr val="accent5"/>
                </a:solidFill>
              </a:ln>
              <a:effectLst/>
            </c:spPr>
          </c:marker>
          <c:xVal>
            <c:numRef>
              <c:f>'Technical parameters TEMP'!$T$5:$AB$5</c:f>
              <c:numCache>
                <c:formatCode>General</c:formatCode>
                <c:ptCount val="9"/>
                <c:pt idx="0">
                  <c:v>1.9230769230769232E-2</c:v>
                </c:pt>
                <c:pt idx="1">
                  <c:v>7.6923076923076927E-2</c:v>
                </c:pt>
                <c:pt idx="2">
                  <c:v>0.23076923076923078</c:v>
                </c:pt>
                <c:pt idx="3">
                  <c:v>0.5</c:v>
                </c:pt>
                <c:pt idx="4">
                  <c:v>1</c:v>
                </c:pt>
                <c:pt idx="5">
                  <c:v>3</c:v>
                </c:pt>
                <c:pt idx="6">
                  <c:v>10</c:v>
                </c:pt>
                <c:pt idx="7">
                  <c:v>20</c:v>
                </c:pt>
                <c:pt idx="8">
                  <c:v>40</c:v>
                </c:pt>
              </c:numCache>
            </c:numRef>
          </c:xVal>
          <c:yVal>
            <c:numRef>
              <c:f>'Technical parameters TEMP'!$T$11:$AB$11</c:f>
              <c:numCache>
                <c:formatCode>0</c:formatCode>
                <c:ptCount val="9"/>
                <c:pt idx="0">
                  <c:v>473.82135985192002</c:v>
                </c:pt>
                <c:pt idx="1">
                  <c:v>473.26562844223236</c:v>
                </c:pt>
                <c:pt idx="2">
                  <c:v>472.4162829623474</c:v>
                </c:pt>
                <c:pt idx="3">
                  <c:v>471.57921411654002</c:v>
                </c:pt>
                <c:pt idx="4">
                  <c:v>470.6632036783983</c:v>
                </c:pt>
                <c:pt idx="5">
                  <c:v>468.91309675015083</c:v>
                </c:pt>
                <c:pt idx="6">
                  <c:v>466.62810677362353</c:v>
                </c:pt>
                <c:pt idx="7">
                  <c:v>465.16677309924103</c:v>
                </c:pt>
                <c:pt idx="8">
                  <c:v>463.6169002456478</c:v>
                </c:pt>
              </c:numCache>
            </c:numRef>
          </c:yVal>
          <c:smooth val="1"/>
          <c:extLst>
            <c:ext xmlns:c16="http://schemas.microsoft.com/office/drawing/2014/chart" uri="{C3380CC4-5D6E-409C-BE32-E72D297353CC}">
              <c16:uniqueId val="{00000006-DA88-4E78-BF1A-6F3914E36605}"/>
            </c:ext>
          </c:extLst>
        </c:ser>
        <c:ser>
          <c:idx val="5"/>
          <c:order val="5"/>
          <c:tx>
            <c:strRef>
              <c:f>'Technical parameters TEMP'!$AC$12</c:f>
              <c:strCache>
                <c:ptCount val="1"/>
                <c:pt idx="0">
                  <c:v>20 kg/s</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'Technical parameters TEMP'!$T$5:$AB$5</c:f>
              <c:numCache>
                <c:formatCode>General</c:formatCode>
                <c:ptCount val="9"/>
                <c:pt idx="0">
                  <c:v>1.9230769230769232E-2</c:v>
                </c:pt>
                <c:pt idx="1">
                  <c:v>7.6923076923076927E-2</c:v>
                </c:pt>
                <c:pt idx="2">
                  <c:v>0.23076923076923078</c:v>
                </c:pt>
                <c:pt idx="3">
                  <c:v>0.5</c:v>
                </c:pt>
                <c:pt idx="4">
                  <c:v>1</c:v>
                </c:pt>
                <c:pt idx="5">
                  <c:v>3</c:v>
                </c:pt>
                <c:pt idx="6">
                  <c:v>10</c:v>
                </c:pt>
                <c:pt idx="7">
                  <c:v>20</c:v>
                </c:pt>
                <c:pt idx="8">
                  <c:v>40</c:v>
                </c:pt>
              </c:numCache>
            </c:numRef>
          </c:xVal>
          <c:yVal>
            <c:numRef>
              <c:f>'Technical parameters TEMP'!$T$12:$AB$12</c:f>
              <c:numCache>
                <c:formatCode>0</c:formatCode>
                <c:ptCount val="9"/>
                <c:pt idx="0">
                  <c:v>472.99279985071018</c:v>
                </c:pt>
                <c:pt idx="1">
                  <c:v>471.08394829117731</c:v>
                </c:pt>
                <c:pt idx="2">
                  <c:v>468.80416538008438</c:v>
                </c:pt>
                <c:pt idx="3">
                  <c:v>466.8529927508319</c:v>
                </c:pt>
                <c:pt idx="4">
                  <c:v>464.90436103788346</c:v>
                </c:pt>
                <c:pt idx="5">
                  <c:v>461.51499715295586</c:v>
                </c:pt>
                <c:pt idx="6">
                  <c:v>457.50322895088971</c:v>
                </c:pt>
                <c:pt idx="7">
                  <c:v>455.10363896589945</c:v>
                </c:pt>
                <c:pt idx="8">
                  <c:v>452.66482668737194</c:v>
                </c:pt>
              </c:numCache>
            </c:numRef>
          </c:yVal>
          <c:smooth val="1"/>
          <c:extLst>
            <c:ext xmlns:c16="http://schemas.microsoft.com/office/drawing/2014/chart" uri="{C3380CC4-5D6E-409C-BE32-E72D297353CC}">
              <c16:uniqueId val="{00000007-DA88-4E78-BF1A-6F3914E36605}"/>
            </c:ext>
          </c:extLst>
        </c:ser>
        <c:ser>
          <c:idx val="6"/>
          <c:order val="6"/>
          <c:tx>
            <c:strRef>
              <c:f>'Technical parameters TEMP'!$AC$13</c:f>
              <c:strCache>
                <c:ptCount val="1"/>
                <c:pt idx="0">
                  <c:v>30 kg/s</c:v>
                </c:pt>
              </c:strCache>
            </c:strRef>
          </c:tx>
          <c:spPr>
            <a:ln w="19050"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xVal>
            <c:numRef>
              <c:f>'Technical parameters TEMP'!$T$5:$AB$5</c:f>
              <c:numCache>
                <c:formatCode>General</c:formatCode>
                <c:ptCount val="9"/>
                <c:pt idx="0">
                  <c:v>1.9230769230769232E-2</c:v>
                </c:pt>
                <c:pt idx="1">
                  <c:v>7.6923076923076927E-2</c:v>
                </c:pt>
                <c:pt idx="2">
                  <c:v>0.23076923076923078</c:v>
                </c:pt>
                <c:pt idx="3">
                  <c:v>0.5</c:v>
                </c:pt>
                <c:pt idx="4">
                  <c:v>1</c:v>
                </c:pt>
                <c:pt idx="5">
                  <c:v>3</c:v>
                </c:pt>
                <c:pt idx="6">
                  <c:v>10</c:v>
                </c:pt>
                <c:pt idx="7">
                  <c:v>20</c:v>
                </c:pt>
                <c:pt idx="8">
                  <c:v>40</c:v>
                </c:pt>
              </c:numCache>
            </c:numRef>
          </c:xVal>
          <c:yVal>
            <c:numRef>
              <c:f>'Technical parameters TEMP'!$T$13:$AB$13</c:f>
              <c:numCache>
                <c:formatCode>0</c:formatCode>
                <c:ptCount val="9"/>
                <c:pt idx="0">
                  <c:v>468.29313700051176</c:v>
                </c:pt>
                <c:pt idx="1">
                  <c:v>462.38514889571246</c:v>
                </c:pt>
                <c:pt idx="2">
                  <c:v>456.91494418868581</c:v>
                </c:pt>
                <c:pt idx="3">
                  <c:v>452.86007167582659</c:v>
                </c:pt>
                <c:pt idx="4">
                  <c:v>449.16697720315744</c:v>
                </c:pt>
                <c:pt idx="5">
                  <c:v>443.31856445189982</c:v>
                </c:pt>
                <c:pt idx="6">
                  <c:v>437.04608776108205</c:v>
                </c:pt>
                <c:pt idx="7">
                  <c:v>433.53967250932573</c:v>
                </c:pt>
                <c:pt idx="8">
                  <c:v>430.1250772484093</c:v>
                </c:pt>
              </c:numCache>
            </c:numRef>
          </c:yVal>
          <c:smooth val="1"/>
          <c:extLst>
            <c:ext xmlns:c16="http://schemas.microsoft.com/office/drawing/2014/chart" uri="{C3380CC4-5D6E-409C-BE32-E72D297353CC}">
              <c16:uniqueId val="{00000008-DA88-4E78-BF1A-6F3914E36605}"/>
            </c:ext>
          </c:extLst>
        </c:ser>
        <c:ser>
          <c:idx val="7"/>
          <c:order val="7"/>
          <c:tx>
            <c:strRef>
              <c:f>'Technical parameters TEMP'!$AC$14</c:f>
              <c:strCache>
                <c:ptCount val="1"/>
                <c:pt idx="0">
                  <c:v>40 kg/s</c:v>
                </c:pt>
              </c:strCache>
            </c:strRef>
          </c:tx>
          <c:spPr>
            <a:ln w="19050"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xVal>
            <c:numRef>
              <c:f>'Technical parameters TEMP'!$T$5:$AB$5</c:f>
              <c:numCache>
                <c:formatCode>General</c:formatCode>
                <c:ptCount val="9"/>
                <c:pt idx="0">
                  <c:v>1.9230769230769232E-2</c:v>
                </c:pt>
                <c:pt idx="1">
                  <c:v>7.6923076923076927E-2</c:v>
                </c:pt>
                <c:pt idx="2">
                  <c:v>0.23076923076923078</c:v>
                </c:pt>
                <c:pt idx="3">
                  <c:v>0.5</c:v>
                </c:pt>
                <c:pt idx="4">
                  <c:v>1</c:v>
                </c:pt>
                <c:pt idx="5">
                  <c:v>3</c:v>
                </c:pt>
                <c:pt idx="6">
                  <c:v>10</c:v>
                </c:pt>
                <c:pt idx="7">
                  <c:v>20</c:v>
                </c:pt>
                <c:pt idx="8">
                  <c:v>40</c:v>
                </c:pt>
              </c:numCache>
            </c:numRef>
          </c:xVal>
          <c:yVal>
            <c:numRef>
              <c:f>'Technical parameters TEMP'!$T$14:$AB$14</c:f>
              <c:numCache>
                <c:formatCode>0</c:formatCode>
                <c:ptCount val="9"/>
                <c:pt idx="0">
                  <c:v>460.39015209654241</c:v>
                </c:pt>
                <c:pt idx="1">
                  <c:v>450.79245941488796</c:v>
                </c:pt>
                <c:pt idx="2">
                  <c:v>442.99241724045419</c:v>
                </c:pt>
                <c:pt idx="3">
                  <c:v>437.61696291392298</c:v>
                </c:pt>
                <c:pt idx="4">
                  <c:v>432.9428602369548</c:v>
                </c:pt>
                <c:pt idx="5">
                  <c:v>425.87986545271917</c:v>
                </c:pt>
                <c:pt idx="6">
                  <c:v>418.6704431610529</c:v>
                </c:pt>
                <c:pt idx="7">
                  <c:v>414.77534890919179</c:v>
                </c:pt>
                <c:pt idx="8">
                  <c:v>411.0626605148824</c:v>
                </c:pt>
              </c:numCache>
            </c:numRef>
          </c:yVal>
          <c:smooth val="1"/>
          <c:extLst>
            <c:ext xmlns:c16="http://schemas.microsoft.com/office/drawing/2014/chart" uri="{C3380CC4-5D6E-409C-BE32-E72D297353CC}">
              <c16:uniqueId val="{00000009-DA88-4E78-BF1A-6F3914E36605}"/>
            </c:ext>
          </c:extLst>
        </c:ser>
        <c:ser>
          <c:idx val="8"/>
          <c:order val="8"/>
          <c:tx>
            <c:strRef>
              <c:f>'Technical parameters TEMP'!$AC$15</c:f>
              <c:strCache>
                <c:ptCount val="1"/>
                <c:pt idx="0">
                  <c:v>50 kg/s</c:v>
                </c:pt>
              </c:strCache>
            </c:strRef>
          </c:tx>
          <c:spPr>
            <a:ln w="19050"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xVal>
            <c:numRef>
              <c:f>'Technical parameters TEMP'!$T$5:$AB$5</c:f>
              <c:numCache>
                <c:formatCode>General</c:formatCode>
                <c:ptCount val="9"/>
                <c:pt idx="0">
                  <c:v>1.9230769230769232E-2</c:v>
                </c:pt>
                <c:pt idx="1">
                  <c:v>7.6923076923076927E-2</c:v>
                </c:pt>
                <c:pt idx="2">
                  <c:v>0.23076923076923078</c:v>
                </c:pt>
                <c:pt idx="3">
                  <c:v>0.5</c:v>
                </c:pt>
                <c:pt idx="4">
                  <c:v>1</c:v>
                </c:pt>
                <c:pt idx="5">
                  <c:v>3</c:v>
                </c:pt>
                <c:pt idx="6">
                  <c:v>10</c:v>
                </c:pt>
                <c:pt idx="7">
                  <c:v>20</c:v>
                </c:pt>
                <c:pt idx="8">
                  <c:v>40</c:v>
                </c:pt>
              </c:numCache>
            </c:numRef>
          </c:xVal>
          <c:yVal>
            <c:numRef>
              <c:f>'Technical parameters TEMP'!$T$15:$AB$15</c:f>
              <c:numCache>
                <c:formatCode>0</c:formatCode>
                <c:ptCount val="9"/>
                <c:pt idx="0">
                  <c:v>451.0602124795343</c:v>
                </c:pt>
                <c:pt idx="1">
                  <c:v>438.83091196690174</c:v>
                </c:pt>
                <c:pt idx="2">
                  <c:v>429.64956297836392</c:v>
                </c:pt>
                <c:pt idx="3">
                  <c:v>423.59491839490761</c:v>
                </c:pt>
                <c:pt idx="4">
                  <c:v>418.47509390357482</c:v>
                </c:pt>
                <c:pt idx="5">
                  <c:v>410.95304873621564</c:v>
                </c:pt>
                <c:pt idx="6">
                  <c:v>403.50010697593069</c:v>
                </c:pt>
                <c:pt idx="7">
                  <c:v>399.55532410492151</c:v>
                </c:pt>
                <c:pt idx="8">
                  <c:v>395.84336520702959</c:v>
                </c:pt>
              </c:numCache>
            </c:numRef>
          </c:yVal>
          <c:smooth val="1"/>
          <c:extLst>
            <c:ext xmlns:c16="http://schemas.microsoft.com/office/drawing/2014/chart" uri="{C3380CC4-5D6E-409C-BE32-E72D297353CC}">
              <c16:uniqueId val="{0000000A-DA88-4E78-BF1A-6F3914E36605}"/>
            </c:ext>
          </c:extLst>
        </c:ser>
        <c:ser>
          <c:idx val="9"/>
          <c:order val="9"/>
          <c:tx>
            <c:strRef>
              <c:f>'Technical parameters TEMP'!$AC$16</c:f>
              <c:strCache>
                <c:ptCount val="1"/>
                <c:pt idx="0">
                  <c:v>Reservoir </c:v>
                </c:pt>
              </c:strCache>
            </c:strRef>
          </c:tx>
          <c:spPr>
            <a:ln w="19050" cap="rnd">
              <a:solidFill>
                <a:srgbClr val="FF0000"/>
              </a:solidFill>
              <a:prstDash val="dash"/>
              <a:round/>
            </a:ln>
            <a:effectLst/>
          </c:spPr>
          <c:marker>
            <c:symbol val="none"/>
          </c:marker>
          <c:xVal>
            <c:numRef>
              <c:f>'Technical parameters TEMP'!$T$5:$AB$5</c:f>
              <c:numCache>
                <c:formatCode>General</c:formatCode>
                <c:ptCount val="9"/>
                <c:pt idx="0">
                  <c:v>1.9230769230769232E-2</c:v>
                </c:pt>
                <c:pt idx="1">
                  <c:v>7.6923076923076927E-2</c:v>
                </c:pt>
                <c:pt idx="2">
                  <c:v>0.23076923076923078</c:v>
                </c:pt>
                <c:pt idx="3">
                  <c:v>0.5</c:v>
                </c:pt>
                <c:pt idx="4">
                  <c:v>1</c:v>
                </c:pt>
                <c:pt idx="5">
                  <c:v>3</c:v>
                </c:pt>
                <c:pt idx="6">
                  <c:v>10</c:v>
                </c:pt>
                <c:pt idx="7">
                  <c:v>20</c:v>
                </c:pt>
                <c:pt idx="8">
                  <c:v>40</c:v>
                </c:pt>
              </c:numCache>
            </c:numRef>
          </c:xVal>
          <c:yVal>
            <c:numRef>
              <c:f>'Technical parameters TEMP'!$T$16:$AB$16</c:f>
              <c:numCache>
                <c:formatCode>#,##0</c:formatCode>
                <c:ptCount val="9"/>
                <c:pt idx="0">
                  <c:v>474</c:v>
                </c:pt>
                <c:pt idx="1">
                  <c:v>474</c:v>
                </c:pt>
                <c:pt idx="2">
                  <c:v>474</c:v>
                </c:pt>
                <c:pt idx="3">
                  <c:v>474</c:v>
                </c:pt>
                <c:pt idx="4">
                  <c:v>474</c:v>
                </c:pt>
                <c:pt idx="5">
                  <c:v>474</c:v>
                </c:pt>
                <c:pt idx="6">
                  <c:v>474</c:v>
                </c:pt>
                <c:pt idx="7">
                  <c:v>474</c:v>
                </c:pt>
                <c:pt idx="8">
                  <c:v>474</c:v>
                </c:pt>
              </c:numCache>
            </c:numRef>
          </c:yVal>
          <c:smooth val="1"/>
          <c:extLst>
            <c:ext xmlns:c16="http://schemas.microsoft.com/office/drawing/2014/chart" uri="{C3380CC4-5D6E-409C-BE32-E72D297353CC}">
              <c16:uniqueId val="{0000000B-DA88-4E78-BF1A-6F3914E36605}"/>
            </c:ext>
          </c:extLst>
        </c:ser>
        <c:dLbls>
          <c:showLegendKey val="0"/>
          <c:showVal val="0"/>
          <c:showCatName val="0"/>
          <c:showSerName val="0"/>
          <c:showPercent val="0"/>
          <c:showBubbleSize val="0"/>
        </c:dLbls>
        <c:axId val="926145456"/>
        <c:axId val="926152112"/>
      </c:scatterChart>
      <c:valAx>
        <c:axId val="926145456"/>
        <c:scaling>
          <c:orientation val="minMax"/>
        </c:scaling>
        <c:delete val="0"/>
        <c:axPos val="b"/>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a:t>Time (years)</a:t>
                </a: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crossAx val="926152112"/>
        <c:crosses val="autoZero"/>
        <c:crossBetween val="midCat"/>
      </c:valAx>
      <c:valAx>
        <c:axId val="926152112"/>
        <c:scaling>
          <c:orientation val="minMax"/>
          <c:min val="3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a:t>Temperature (K)</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crossAx val="926145456"/>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a:pPr>
      <a:endParaRPr lang="de-D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9525</xdr:colOff>
      <xdr:row>1</xdr:row>
      <xdr:rowOff>9525</xdr:rowOff>
    </xdr:from>
    <xdr:to>
      <xdr:col>3</xdr:col>
      <xdr:colOff>495810</xdr:colOff>
      <xdr:row>5</xdr:row>
      <xdr:rowOff>22860</xdr:rowOff>
    </xdr:to>
    <xdr:pic>
      <xdr:nvPicPr>
        <xdr:cNvPr id="4" name="Grafik 3">
          <a:extLst>
            <a:ext uri="{FF2B5EF4-FFF2-40B4-BE49-F238E27FC236}">
              <a16:creationId xmlns:a16="http://schemas.microsoft.com/office/drawing/2014/main" id="{EF8955B3-0156-4591-A135-D50074495631}"/>
            </a:ext>
          </a:extLst>
        </xdr:cNvPr>
        <xdr:cNvPicPr>
          <a:picLocks noChangeAspect="1"/>
        </xdr:cNvPicPr>
      </xdr:nvPicPr>
      <xdr:blipFill>
        <a:blip xmlns:r="http://schemas.openxmlformats.org/officeDocument/2006/relationships" r:embed="rId1"/>
        <a:stretch>
          <a:fillRect/>
        </a:stretch>
      </xdr:blipFill>
      <xdr:spPr>
        <a:xfrm>
          <a:off x="649605" y="184785"/>
          <a:ext cx="1301625" cy="744855"/>
        </a:xfrm>
        <a:prstGeom prst="rect">
          <a:avLst/>
        </a:prstGeom>
      </xdr:spPr>
    </xdr:pic>
    <xdr:clientData/>
  </xdr:twoCellAnchor>
  <xdr:twoCellAnchor editAs="oneCell">
    <xdr:from>
      <xdr:col>5</xdr:col>
      <xdr:colOff>1051560</xdr:colOff>
      <xdr:row>0</xdr:row>
      <xdr:rowOff>144781</xdr:rowOff>
    </xdr:from>
    <xdr:to>
      <xdr:col>5</xdr:col>
      <xdr:colOff>2331720</xdr:colOff>
      <xdr:row>4</xdr:row>
      <xdr:rowOff>129540</xdr:rowOff>
    </xdr:to>
    <xdr:pic>
      <xdr:nvPicPr>
        <xdr:cNvPr id="5" name="Grafik 4" descr="https://conim.ch/cms/wp-content/themes/conim/images/conim.png">
          <a:extLst>
            <a:ext uri="{FF2B5EF4-FFF2-40B4-BE49-F238E27FC236}">
              <a16:creationId xmlns:a16="http://schemas.microsoft.com/office/drawing/2014/main" id="{1C0BAAF5-B8B6-416E-B3CA-7261083433C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4273" r="23589"/>
        <a:stretch/>
      </xdr:blipFill>
      <xdr:spPr bwMode="auto">
        <a:xfrm>
          <a:off x="5036820" y="144781"/>
          <a:ext cx="1280160" cy="7162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514350</xdr:colOff>
      <xdr:row>16</xdr:row>
      <xdr:rowOff>152400</xdr:rowOff>
    </xdr:from>
    <xdr:to>
      <xdr:col>29</xdr:col>
      <xdr:colOff>495299</xdr:colOff>
      <xdr:row>34</xdr:row>
      <xdr:rowOff>200025</xdr:rowOff>
    </xdr:to>
    <xdr:graphicFrame macro="">
      <xdr:nvGraphicFramePr>
        <xdr:cNvPr id="4" name="Chart 3">
          <a:extLst>
            <a:ext uri="{FF2B5EF4-FFF2-40B4-BE49-F238E27FC236}">
              <a16:creationId xmlns:a16="http://schemas.microsoft.com/office/drawing/2014/main" id="{0CD28877-07B9-1773-F369-03C9705926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admin.ch/gov/de/start/dokumentation/medienmitteilungen.msg-id-87407.html" TargetMode="External"/></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5EAB0-ABFE-4694-B678-B7C4636C1530}">
  <dimension ref="C2:L25"/>
  <sheetViews>
    <sheetView showGridLines="0" topLeftCell="A5" workbookViewId="0">
      <selection activeCell="C16" sqref="C16:F16"/>
    </sheetView>
  </sheetViews>
  <sheetFormatPr baseColWidth="10" defaultColWidth="9.44140625" defaultRowHeight="14.4"/>
  <cols>
    <col min="1" max="1" width="1.44140625" style="1" customWidth="1"/>
    <col min="2" max="2" width="8" style="1" customWidth="1"/>
    <col min="3" max="3" width="11.6640625" style="1" customWidth="1"/>
    <col min="4" max="4" width="8.33203125" style="1" customWidth="1"/>
    <col min="5" max="5" width="28.6640625" style="1" customWidth="1"/>
    <col min="6" max="6" width="50.33203125" style="1" customWidth="1"/>
    <col min="7" max="7" width="13.33203125" style="1" customWidth="1"/>
    <col min="8" max="8" width="2.5546875" style="1" customWidth="1"/>
    <col min="9" max="13" width="13.44140625" style="1" customWidth="1"/>
    <col min="14" max="16384" width="9.44140625" style="1"/>
  </cols>
  <sheetData>
    <row r="2" spans="3:12">
      <c r="F2" s="2"/>
      <c r="L2" s="3"/>
    </row>
    <row r="9" spans="3:12" ht="36" customHeight="1">
      <c r="C9" s="351" t="s">
        <v>307</v>
      </c>
      <c r="D9" s="351"/>
      <c r="E9" s="351"/>
      <c r="F9" s="351"/>
    </row>
    <row r="10" spans="3:12" ht="38.700000000000003" customHeight="1">
      <c r="C10" s="351"/>
      <c r="D10" s="351"/>
      <c r="E10" s="351"/>
      <c r="F10" s="351"/>
    </row>
    <row r="12" spans="3:12">
      <c r="C12" s="347" t="s">
        <v>44</v>
      </c>
      <c r="D12" s="347"/>
      <c r="E12" s="347"/>
      <c r="F12" s="347"/>
    </row>
    <row r="13" spans="3:12" ht="30" customHeight="1">
      <c r="C13" s="347"/>
      <c r="D13" s="347"/>
      <c r="E13" s="347"/>
      <c r="F13" s="347"/>
    </row>
    <row r="14" spans="3:12" ht="25.8">
      <c r="C14" s="348"/>
      <c r="D14" s="348"/>
      <c r="E14" s="348"/>
      <c r="F14" s="348"/>
    </row>
    <row r="15" spans="3:12" ht="15.6">
      <c r="C15" s="4"/>
      <c r="D15" s="4"/>
      <c r="E15" s="4"/>
    </row>
    <row r="16" spans="3:12" ht="21">
      <c r="C16" s="349" t="s">
        <v>45</v>
      </c>
      <c r="D16" s="350"/>
      <c r="E16" s="350"/>
      <c r="F16" s="350"/>
    </row>
    <row r="17" spans="3:5" ht="15.6">
      <c r="C17" s="4"/>
      <c r="D17" s="4"/>
      <c r="E17" s="4"/>
    </row>
    <row r="18" spans="3:5" ht="21">
      <c r="C18" s="5"/>
    </row>
    <row r="19" spans="3:5" ht="21">
      <c r="C19" s="5"/>
    </row>
    <row r="24" spans="3:5">
      <c r="C24" s="6" t="s">
        <v>46</v>
      </c>
    </row>
    <row r="25" spans="3:5">
      <c r="C25" s="6" t="s">
        <v>248</v>
      </c>
    </row>
  </sheetData>
  <sheetProtection algorithmName="SHA-512" hashValue="Jsk/4ISqGQcbvfCAaV6/CDNFR5suDWPHY6/szlp31BREyYa2DD31fslGg3MeX15ldBl1aQOZNzAI/JtYJbEUDQ==" saltValue="6jqGOgg3jCfrZesZki5TRg==" spinCount="100000" sheet="1" objects="1" scenarios="1" selectLockedCells="1"/>
  <mergeCells count="4">
    <mergeCell ref="C12:F13"/>
    <mergeCell ref="C14:F14"/>
    <mergeCell ref="C16:F16"/>
    <mergeCell ref="C9:F10"/>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19908-7498-4757-B0AE-8C43D4B60354}">
  <dimension ref="B1:C11"/>
  <sheetViews>
    <sheetView showGridLines="0" workbookViewId="0">
      <selection sqref="A1:XFD1048576"/>
    </sheetView>
  </sheetViews>
  <sheetFormatPr baseColWidth="10" defaultColWidth="11.5546875" defaultRowHeight="14.4"/>
  <cols>
    <col min="1" max="1" width="2.44140625" style="2" customWidth="1"/>
    <col min="2" max="2" width="10.44140625" style="2" customWidth="1"/>
    <col min="3" max="3" width="26.44140625" style="2" customWidth="1"/>
    <col min="4" max="16384" width="11.5546875" style="2"/>
  </cols>
  <sheetData>
    <row r="1" spans="2:3" ht="18">
      <c r="B1" s="7" t="s">
        <v>47</v>
      </c>
    </row>
    <row r="3" spans="2:3">
      <c r="B3" s="2" t="s">
        <v>249</v>
      </c>
    </row>
    <row r="4" spans="2:3">
      <c r="B4" s="2" t="s">
        <v>250</v>
      </c>
    </row>
    <row r="6" spans="2:3">
      <c r="B6" s="8" t="s">
        <v>251</v>
      </c>
      <c r="C6" s="9"/>
    </row>
    <row r="8" spans="2:3">
      <c r="B8" s="2" t="s">
        <v>278</v>
      </c>
    </row>
    <row r="9" spans="2:3">
      <c r="B9" s="2" t="s">
        <v>277</v>
      </c>
    </row>
    <row r="11" spans="2:3">
      <c r="B11" s="2" t="s">
        <v>308</v>
      </c>
    </row>
  </sheetData>
  <sheetProtection algorithmName="SHA-512" hashValue="IuxHum6wg04ruXIKN+PwkbdtoDyWf6/+ARYC9UwGZ8LmucGrXSaA4gg8SQp3qTp+No/f1tDUL0KbfDirahJU+w==" saltValue="Aiu4gLgrrOTI65Fwmf+UEg==" spinCount="100000" sheet="1" objects="1" scenarios="1" selectLockedCells="1"/>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B5476-42FE-4FD6-AB9B-28EFAE195D95}">
  <dimension ref="B1:M51"/>
  <sheetViews>
    <sheetView showGridLines="0" zoomScale="80" zoomScaleNormal="80" workbookViewId="0">
      <selection sqref="A1:XFD1048576"/>
    </sheetView>
  </sheetViews>
  <sheetFormatPr baseColWidth="10" defaultColWidth="11.5546875" defaultRowHeight="14.4"/>
  <cols>
    <col min="1" max="1" width="2.33203125" style="2" customWidth="1"/>
    <col min="2" max="2" width="38.44140625" style="2" customWidth="1"/>
    <col min="3" max="3" width="26.33203125" style="2" customWidth="1"/>
    <col min="4" max="4" width="15.33203125" style="2" customWidth="1"/>
    <col min="5" max="5" width="15.44140625" style="2" customWidth="1"/>
    <col min="6" max="8" width="13" style="2" customWidth="1"/>
    <col min="9" max="9" width="17.6640625" style="2" customWidth="1"/>
    <col min="10" max="10" width="52.33203125" style="2" customWidth="1"/>
    <col min="11" max="15" width="13" style="2" customWidth="1"/>
    <col min="16" max="16" width="11.6640625" style="2" bestFit="1" customWidth="1"/>
    <col min="17" max="16384" width="11.5546875" style="2"/>
  </cols>
  <sheetData>
    <row r="1" spans="2:13" ht="18">
      <c r="B1" s="7" t="s">
        <v>50</v>
      </c>
    </row>
    <row r="2" spans="2:13">
      <c r="B2" s="10" t="s">
        <v>51</v>
      </c>
    </row>
    <row r="3" spans="2:13" ht="7.5" customHeight="1">
      <c r="C3" s="10"/>
    </row>
    <row r="4" spans="2:13" ht="28.35" customHeight="1">
      <c r="B4" s="354" t="s">
        <v>55</v>
      </c>
      <c r="C4" s="355"/>
      <c r="D4" s="360"/>
      <c r="E4" s="361"/>
      <c r="I4" s="362" t="s">
        <v>54</v>
      </c>
      <c r="J4" s="363"/>
      <c r="K4" s="364"/>
    </row>
    <row r="5" spans="2:13" ht="16.95" customHeight="1">
      <c r="B5" s="352" t="s">
        <v>174</v>
      </c>
      <c r="C5" s="353"/>
      <c r="D5" s="365" t="str">
        <f>'Technical parameters PROD'!C13</f>
        <v>Electricity, Heat, CO2 Allowances</v>
      </c>
      <c r="E5" s="366"/>
      <c r="I5" s="11"/>
      <c r="J5" s="22"/>
      <c r="K5" s="105"/>
    </row>
    <row r="6" spans="2:13" ht="16.95" customHeight="1">
      <c r="B6" s="358" t="s">
        <v>176</v>
      </c>
      <c r="C6" s="359"/>
      <c r="D6" s="13">
        <f>'Technical parameters TEMP'!C9</f>
        <v>6000</v>
      </c>
      <c r="E6" s="19" t="s">
        <v>4</v>
      </c>
      <c r="I6" s="186" t="s">
        <v>177</v>
      </c>
      <c r="J6" s="107"/>
      <c r="K6" s="108"/>
    </row>
    <row r="7" spans="2:13" ht="16.95" customHeight="1">
      <c r="B7" s="167" t="s">
        <v>300</v>
      </c>
      <c r="C7" s="155"/>
      <c r="D7" s="11">
        <f>MAX('Technical parameters TEMP'!C49,'Technical parameters TEMP'!C28,'Technical parameters TEMP'!C7)-273.15</f>
        <v>122.86364012958239</v>
      </c>
      <c r="E7" s="30" t="s">
        <v>302</v>
      </c>
      <c r="I7" s="129"/>
      <c r="J7" s="22"/>
      <c r="K7" s="168"/>
    </row>
    <row r="8" spans="2:13" ht="16.95" customHeight="1">
      <c r="B8" s="358" t="s">
        <v>40</v>
      </c>
      <c r="C8" s="359"/>
      <c r="D8" s="13">
        <f>'Technical parameters TEMP'!C30</f>
        <v>7000</v>
      </c>
      <c r="E8" s="19" t="s">
        <v>4</v>
      </c>
      <c r="I8" s="13"/>
      <c r="J8" s="107"/>
      <c r="K8" s="144"/>
    </row>
    <row r="9" spans="2:13" ht="16.95" customHeight="1">
      <c r="B9" s="352" t="s">
        <v>202</v>
      </c>
      <c r="C9" s="353"/>
      <c r="D9" s="11">
        <f>'Technical parameters PROD'!$C$9</f>
        <v>6</v>
      </c>
      <c r="E9" s="30"/>
      <c r="I9" s="11"/>
      <c r="J9" s="22"/>
      <c r="K9" s="105"/>
    </row>
    <row r="10" spans="2:13" ht="16.95" customHeight="1">
      <c r="B10" s="358" t="s">
        <v>286</v>
      </c>
      <c r="C10" s="359"/>
      <c r="D10" s="13">
        <f>'Technical parameters PROD'!C10</f>
        <v>51</v>
      </c>
      <c r="E10" s="19" t="s">
        <v>30</v>
      </c>
      <c r="I10" s="13"/>
      <c r="J10" s="107"/>
      <c r="K10" s="144"/>
    </row>
    <row r="11" spans="2:13" ht="16.95" customHeight="1">
      <c r="B11" s="352" t="s">
        <v>305</v>
      </c>
      <c r="C11" s="353"/>
      <c r="D11" s="173">
        <f>IF('Technical parameters PROD'!C16="n/a","not planned",'Technical parameters PROD'!C20)</f>
        <v>1.1314347236989393</v>
      </c>
      <c r="E11" s="30" t="s">
        <v>303</v>
      </c>
      <c r="I11" s="11"/>
      <c r="J11" s="22"/>
      <c r="K11" s="105"/>
    </row>
    <row r="12" spans="2:13" ht="16.95" customHeight="1">
      <c r="B12" s="356" t="s">
        <v>175</v>
      </c>
      <c r="C12" s="357"/>
      <c r="D12" s="169">
        <f>IF('Technical parameters PROD'!C24="n/a","not planned",'Technical parameters PROD'!C26)</f>
        <v>17.246924999999997</v>
      </c>
      <c r="E12" s="183" t="s">
        <v>304</v>
      </c>
      <c r="I12" s="170"/>
      <c r="J12" s="171"/>
      <c r="K12" s="172"/>
    </row>
    <row r="13" spans="2:13" ht="16.95" customHeight="1"/>
    <row r="14" spans="2:13" ht="28.35" customHeight="1">
      <c r="B14" s="354" t="s">
        <v>38</v>
      </c>
      <c r="C14" s="355"/>
      <c r="D14" s="360" t="s">
        <v>253</v>
      </c>
      <c r="E14" s="361"/>
      <c r="I14" s="127" t="s">
        <v>54</v>
      </c>
      <c r="J14" s="128"/>
      <c r="K14" s="367" t="s">
        <v>178</v>
      </c>
      <c r="L14" s="368"/>
      <c r="M14" s="133"/>
    </row>
    <row r="15" spans="2:13" ht="16.95" customHeight="1">
      <c r="B15" s="352" t="s">
        <v>237</v>
      </c>
      <c r="C15" s="353"/>
      <c r="D15" s="11">
        <f>'Economic parameters'!C17</f>
        <v>422633993.07328361</v>
      </c>
      <c r="E15" s="12" t="s">
        <v>48</v>
      </c>
      <c r="I15" s="129"/>
      <c r="J15" s="105"/>
      <c r="K15" s="11" t="s">
        <v>259</v>
      </c>
      <c r="L15" s="22"/>
      <c r="M15" s="105"/>
    </row>
    <row r="16" spans="2:13" ht="40.5" customHeight="1">
      <c r="B16" s="383" t="s">
        <v>124</v>
      </c>
      <c r="C16" s="384"/>
      <c r="D16" s="125">
        <f>'Economic parameters'!C21</f>
        <v>5525738.8947957568</v>
      </c>
      <c r="E16" s="185" t="s">
        <v>48</v>
      </c>
      <c r="I16" s="371" t="s">
        <v>245</v>
      </c>
      <c r="J16" s="372"/>
      <c r="K16" s="134">
        <v>4000000</v>
      </c>
      <c r="L16" s="373" t="s">
        <v>252</v>
      </c>
      <c r="M16" s="374"/>
    </row>
    <row r="17" spans="2:13" ht="16.95" customHeight="1">
      <c r="B17" s="352" t="s">
        <v>167</v>
      </c>
      <c r="C17" s="353"/>
      <c r="D17" s="11">
        <f>'Economic parameters'!C22</f>
        <v>1000000</v>
      </c>
      <c r="E17" s="12" t="s">
        <v>49</v>
      </c>
      <c r="I17" s="129"/>
      <c r="J17" s="105"/>
      <c r="K17" s="11" t="s">
        <v>246</v>
      </c>
      <c r="L17" s="22"/>
      <c r="M17" s="24"/>
    </row>
    <row r="18" spans="2:13" ht="16.95" customHeight="1">
      <c r="B18" s="381" t="s">
        <v>32</v>
      </c>
      <c r="C18" s="382"/>
      <c r="D18" s="14">
        <f>D15+D16+D17</f>
        <v>429159731.96807939</v>
      </c>
      <c r="E18" s="15" t="s">
        <v>49</v>
      </c>
      <c r="I18" s="130"/>
      <c r="J18" s="131"/>
      <c r="K18" s="14"/>
      <c r="L18" s="132"/>
      <c r="M18" s="15"/>
    </row>
    <row r="19" spans="2:13" ht="9.6" customHeight="1">
      <c r="C19" s="16"/>
      <c r="D19" s="17"/>
      <c r="E19" s="17"/>
      <c r="F19" s="17"/>
      <c r="G19" s="17"/>
      <c r="H19" s="17"/>
    </row>
    <row r="20" spans="2:13" ht="28.35" customHeight="1">
      <c r="B20" s="375" t="s">
        <v>179</v>
      </c>
      <c r="C20" s="376"/>
      <c r="D20" s="115" t="s">
        <v>155</v>
      </c>
      <c r="E20" s="116" t="s">
        <v>156</v>
      </c>
      <c r="F20" s="117" t="s">
        <v>157</v>
      </c>
      <c r="G20" s="116" t="s">
        <v>158</v>
      </c>
      <c r="H20" s="116" t="s">
        <v>159</v>
      </c>
    </row>
    <row r="21" spans="2:13" ht="24.6" customHeight="1">
      <c r="B21" s="387" t="s">
        <v>161</v>
      </c>
      <c r="C21" s="378"/>
      <c r="D21" s="109">
        <f>'Cash-Flow Model'!E61</f>
        <v>-383152722.59423178</v>
      </c>
      <c r="E21" s="109">
        <f>'Cash-Flow Model'!F61</f>
        <v>-375836732.86653757</v>
      </c>
      <c r="F21" s="109">
        <f>'Cash-Flow Model'!G61</f>
        <v>-370901883.15046161</v>
      </c>
      <c r="G21" s="109">
        <f>'Cash-Flow Model'!H61</f>
        <v>-364209810.98172444</v>
      </c>
      <c r="H21" s="110">
        <f>'Cash-Flow Model'!I61</f>
        <v>-360269716.43467289</v>
      </c>
    </row>
    <row r="22" spans="2:13" ht="24.6" customHeight="1">
      <c r="B22" s="385" t="s">
        <v>162</v>
      </c>
      <c r="C22" s="386"/>
      <c r="D22" s="112">
        <f>'Cash-Flow Model'!E62</f>
        <v>-383829220.64899927</v>
      </c>
      <c r="E22" s="112">
        <f>'Cash-Flow Model'!F62</f>
        <v>-374447179.82391375</v>
      </c>
      <c r="F22" s="112">
        <f>'Cash-Flow Model'!G62</f>
        <v>-367802091.78302169</v>
      </c>
      <c r="G22" s="112">
        <f>'Cash-Flow Model'!H62</f>
        <v>-358121371.87110823</v>
      </c>
      <c r="H22" s="113">
        <f>'Cash-Flow Model'!I62</f>
        <v>-351825332.71399629</v>
      </c>
    </row>
    <row r="23" spans="2:13" ht="11.1" customHeight="1">
      <c r="B23" s="136"/>
      <c r="C23" s="136"/>
      <c r="D23" s="137"/>
      <c r="E23" s="137"/>
      <c r="F23" s="137"/>
      <c r="G23" s="137"/>
      <c r="H23" s="137"/>
      <c r="I23" s="137"/>
      <c r="J23" s="137"/>
    </row>
    <row r="24" spans="2:13" ht="24.6" customHeight="1">
      <c r="B24" s="375" t="s">
        <v>271</v>
      </c>
      <c r="C24" s="376"/>
      <c r="D24" s="115"/>
      <c r="E24" s="137"/>
      <c r="F24" s="137"/>
      <c r="G24" s="137"/>
      <c r="H24" s="137"/>
      <c r="I24" s="137"/>
      <c r="J24" s="137"/>
    </row>
    <row r="25" spans="2:13" ht="24.6" customHeight="1">
      <c r="B25" s="377" t="s">
        <v>269</v>
      </c>
      <c r="C25" s="378"/>
      <c r="D25" s="139">
        <f>IF('Cash-Flow Model'!H11="n/a","n/a",(((D15+D16)*'Cash-Flow Model'!$H$19)/D11)/1000)</f>
        <v>317852.02089833992</v>
      </c>
      <c r="E25" s="137"/>
      <c r="F25" s="137"/>
      <c r="G25" s="137"/>
      <c r="H25" s="137"/>
      <c r="I25" s="137"/>
      <c r="J25" s="137"/>
    </row>
    <row r="26" spans="2:13" ht="24" customHeight="1">
      <c r="B26" s="379" t="s">
        <v>270</v>
      </c>
      <c r="C26" s="380"/>
      <c r="D26" s="138">
        <f>(((D15+D17)*'Cash-Flow Model'!$H$20)/D12)/1000</f>
        <v>3931.5142976022439</v>
      </c>
      <c r="E26" s="18"/>
      <c r="F26" s="18"/>
      <c r="G26" s="18"/>
      <c r="H26" s="18"/>
      <c r="I26" s="18"/>
      <c r="J26" s="18"/>
      <c r="K26" s="18"/>
      <c r="L26" s="18"/>
      <c r="M26" s="18"/>
    </row>
    <row r="27" spans="2:13" ht="13.5" customHeight="1">
      <c r="B27" s="18"/>
      <c r="C27" s="18"/>
      <c r="D27" s="18"/>
      <c r="E27" s="18"/>
      <c r="F27" s="18"/>
      <c r="G27" s="18"/>
      <c r="H27" s="18"/>
      <c r="I27" s="18"/>
      <c r="J27" s="18"/>
      <c r="K27" s="18"/>
      <c r="L27" s="18"/>
      <c r="M27" s="18"/>
    </row>
    <row r="28" spans="2:13" ht="28.35" customHeight="1">
      <c r="B28" s="375" t="s">
        <v>285</v>
      </c>
      <c r="C28" s="388"/>
      <c r="D28" s="145" t="s">
        <v>155</v>
      </c>
      <c r="E28" s="119" t="s">
        <v>156</v>
      </c>
      <c r="F28" s="118" t="s">
        <v>157</v>
      </c>
      <c r="G28" s="119" t="s">
        <v>158</v>
      </c>
      <c r="H28" s="146" t="s">
        <v>159</v>
      </c>
      <c r="I28" s="18"/>
      <c r="J28" s="18"/>
      <c r="K28" s="18"/>
    </row>
    <row r="29" spans="2:13" ht="9.6" customHeight="1">
      <c r="C29" s="20"/>
      <c r="D29" s="111"/>
      <c r="E29" s="111"/>
      <c r="F29" s="114"/>
      <c r="G29" s="111"/>
      <c r="H29" s="111"/>
    </row>
    <row r="30" spans="2:13" ht="16.95" customHeight="1">
      <c r="B30" s="389" t="s">
        <v>172</v>
      </c>
      <c r="C30" s="165" t="s">
        <v>306</v>
      </c>
      <c r="D30" s="151">
        <f>'Cash-Flow Model'!E66</f>
        <v>3415.6596606202929</v>
      </c>
      <c r="E30" s="151">
        <f>'Cash-Flow Model'!F66</f>
        <v>3659.041514324113</v>
      </c>
      <c r="F30" s="151">
        <f>'Cash-Flow Model'!G66</f>
        <v>3402.3606512044826</v>
      </c>
      <c r="G30" s="151">
        <f>'Cash-Flow Model'!H66</f>
        <v>3111.9705281091356</v>
      </c>
      <c r="H30" s="152">
        <f>'Cash-Flow Model'!I66</f>
        <v>2965.532002809678</v>
      </c>
    </row>
    <row r="31" spans="2:13" ht="16.95" customHeight="1">
      <c r="B31" s="390"/>
      <c r="C31" s="166" t="s">
        <v>287</v>
      </c>
      <c r="D31" s="153">
        <f>'Cash-Flow Model'!E67</f>
        <v>86.565340266068219</v>
      </c>
      <c r="E31" s="153">
        <f>'Cash-Flow Model'!F67</f>
        <v>441.76677965739901</v>
      </c>
      <c r="F31" s="153">
        <f>'Cash-Flow Model'!G67</f>
        <v>408.08916565460567</v>
      </c>
      <c r="G31" s="153">
        <f>'Cash-Flow Model'!H67</f>
        <v>369.98875428396605</v>
      </c>
      <c r="H31" s="154">
        <f>'Cash-Flow Model'!I67</f>
        <v>350.77540089939765</v>
      </c>
    </row>
    <row r="33" spans="2:8">
      <c r="B33" s="369" t="s">
        <v>299</v>
      </c>
      <c r="C33" s="163" t="s">
        <v>297</v>
      </c>
      <c r="D33" s="159">
        <f>'Cash-Flow Model'!E70</f>
        <v>2009.9174557277979</v>
      </c>
      <c r="E33" s="159">
        <f>'Cash-Flow Model'!F70</f>
        <v>1624.6006723947303</v>
      </c>
      <c r="F33" s="159">
        <f>'Cash-Flow Model'!G70</f>
        <v>1364.4910562002763</v>
      </c>
      <c r="G33" s="159">
        <f>'Cash-Flow Model'!H70</f>
        <v>1034.2073001628416</v>
      </c>
      <c r="H33" s="160">
        <f>'Cash-Flow Model'!I70</f>
        <v>832.47119049580419</v>
      </c>
    </row>
    <row r="34" spans="2:8">
      <c r="B34" s="370"/>
      <c r="C34" s="164" t="s">
        <v>298</v>
      </c>
      <c r="D34" s="161">
        <f>'Cash-Flow Model'!E71</f>
        <v>51.329806842212136</v>
      </c>
      <c r="E34" s="161">
        <f>'Cash-Flow Model'!F71</f>
        <v>41.586947563998535</v>
      </c>
      <c r="F34" s="161">
        <f>'Cash-Flow Model'!G71</f>
        <v>34.990275850874973</v>
      </c>
      <c r="G34" s="161">
        <f>'Cash-Flow Model'!H71</f>
        <v>26.582900513148353</v>
      </c>
      <c r="H34" s="162">
        <f>'Cash-Flow Model'!I71</f>
        <v>21.426557181787818</v>
      </c>
    </row>
    <row r="48" spans="2:8" ht="14.7" customHeight="1"/>
    <row r="51" ht="14.7" customHeight="1"/>
  </sheetData>
  <sheetProtection algorithmName="SHA-512" hashValue="+dJno8CT9dAy5mpkiBOSOpIebgP9FnJUhxfGQCcZEyGUSN/oYXUsd7ljJ/51p6jD9q3lc0C42LnGG4V64dlKjA==" saltValue="AHdsqPi/wrglW2XeytS29g==" spinCount="100000" sheet="1" objects="1" scenarios="1" selectLockedCells="1"/>
  <mergeCells count="29">
    <mergeCell ref="B33:B34"/>
    <mergeCell ref="I16:J16"/>
    <mergeCell ref="L16:M16"/>
    <mergeCell ref="B24:C24"/>
    <mergeCell ref="B25:C25"/>
    <mergeCell ref="B26:C26"/>
    <mergeCell ref="B18:C18"/>
    <mergeCell ref="B17:C17"/>
    <mergeCell ref="B16:C16"/>
    <mergeCell ref="B22:C22"/>
    <mergeCell ref="B21:C21"/>
    <mergeCell ref="B20:C20"/>
    <mergeCell ref="B28:C28"/>
    <mergeCell ref="B30:B31"/>
    <mergeCell ref="D4:E4"/>
    <mergeCell ref="I4:K4"/>
    <mergeCell ref="D5:E5"/>
    <mergeCell ref="D14:E14"/>
    <mergeCell ref="K14:L14"/>
    <mergeCell ref="B15:C15"/>
    <mergeCell ref="B14:C14"/>
    <mergeCell ref="B4:C4"/>
    <mergeCell ref="B12:C12"/>
    <mergeCell ref="B11:C11"/>
    <mergeCell ref="B8:C8"/>
    <mergeCell ref="B6:C6"/>
    <mergeCell ref="B5:C5"/>
    <mergeCell ref="B9:C9"/>
    <mergeCell ref="B10:C10"/>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0B825-AB3D-4A0C-8328-866BBBE25F9B}">
  <dimension ref="B1:AD73"/>
  <sheetViews>
    <sheetView showGridLines="0" topLeftCell="A6" zoomScaleNormal="100" workbookViewId="0">
      <selection activeCell="C11" sqref="C11"/>
    </sheetView>
  </sheetViews>
  <sheetFormatPr baseColWidth="10" defaultColWidth="11.5546875" defaultRowHeight="14.4"/>
  <cols>
    <col min="1" max="1" width="3.6640625" style="2" customWidth="1"/>
    <col min="2" max="2" width="60.6640625" style="2" customWidth="1"/>
    <col min="3" max="3" width="14.5546875" style="2" customWidth="1"/>
    <col min="4" max="4" width="10.5546875" style="2" customWidth="1"/>
    <col min="5" max="5" width="92" style="2" customWidth="1"/>
    <col min="6" max="6" width="11.5546875" style="2"/>
    <col min="7" max="16" width="7.44140625" style="2" customWidth="1"/>
    <col min="17" max="17" width="11.5546875" style="2"/>
    <col min="18" max="18" width="17.6640625" style="2" customWidth="1"/>
    <col min="19" max="19" width="14.6640625" style="2" customWidth="1"/>
    <col min="20" max="28" width="7.5546875" style="2" customWidth="1"/>
    <col min="29" max="29" width="8.33203125" style="2" customWidth="1"/>
    <col min="30" max="16384" width="11.5546875" style="2"/>
  </cols>
  <sheetData>
    <row r="1" spans="2:30" ht="18">
      <c r="B1" s="7" t="s">
        <v>93</v>
      </c>
    </row>
    <row r="2" spans="2:30" ht="15" thickBot="1">
      <c r="B2" s="21" t="s">
        <v>53</v>
      </c>
    </row>
    <row r="3" spans="2:30" ht="18">
      <c r="B3" s="187"/>
      <c r="Q3" s="188" t="s">
        <v>188</v>
      </c>
      <c r="R3" s="189"/>
      <c r="S3" s="189"/>
      <c r="T3" s="189"/>
      <c r="U3" s="189"/>
      <c r="V3" s="189"/>
      <c r="W3" s="189"/>
      <c r="X3" s="189"/>
      <c r="Y3" s="189"/>
      <c r="Z3" s="189"/>
      <c r="AA3" s="189"/>
      <c r="AB3" s="189"/>
      <c r="AC3" s="189"/>
      <c r="AD3" s="190"/>
    </row>
    <row r="4" spans="2:30" ht="16.2" customHeight="1">
      <c r="Q4" s="191" t="s">
        <v>295</v>
      </c>
      <c r="AD4" s="192"/>
    </row>
    <row r="5" spans="2:30" ht="20.7" customHeight="1" thickBot="1">
      <c r="B5" s="193" t="s">
        <v>58</v>
      </c>
      <c r="C5" s="194"/>
      <c r="D5" s="195" t="s">
        <v>317</v>
      </c>
      <c r="E5" s="195" t="s">
        <v>59</v>
      </c>
      <c r="Q5" s="196"/>
      <c r="T5" s="2">
        <f>T6/52</f>
        <v>1.9230769230769232E-2</v>
      </c>
      <c r="U5" s="2">
        <f t="shared" ref="U5:AB5" si="0">U6/52</f>
        <v>7.6923076923076927E-2</v>
      </c>
      <c r="V5" s="2">
        <f t="shared" si="0"/>
        <v>0.23076923076923078</v>
      </c>
      <c r="W5" s="2">
        <f t="shared" si="0"/>
        <v>0.5</v>
      </c>
      <c r="X5" s="2">
        <f t="shared" si="0"/>
        <v>1</v>
      </c>
      <c r="Y5" s="2">
        <f t="shared" si="0"/>
        <v>3</v>
      </c>
      <c r="Z5" s="2">
        <f t="shared" si="0"/>
        <v>10</v>
      </c>
      <c r="AA5" s="2">
        <f t="shared" si="0"/>
        <v>20</v>
      </c>
      <c r="AB5" s="2">
        <f t="shared" si="0"/>
        <v>40</v>
      </c>
      <c r="AC5" s="2" t="s">
        <v>218</v>
      </c>
      <c r="AD5" s="192"/>
    </row>
    <row r="6" spans="2:30" ht="21" customHeight="1">
      <c r="B6" s="197" t="s">
        <v>56</v>
      </c>
      <c r="C6" s="198"/>
      <c r="D6" s="199"/>
      <c r="E6" s="24"/>
      <c r="Q6" s="196"/>
      <c r="R6" s="200"/>
      <c r="S6" s="201">
        <f>C28</f>
        <v>396.01364012958237</v>
      </c>
      <c r="T6" s="202">
        <v>1</v>
      </c>
      <c r="U6" s="202">
        <v>4</v>
      </c>
      <c r="V6" s="202">
        <v>12</v>
      </c>
      <c r="W6" s="202">
        <v>26</v>
      </c>
      <c r="X6" s="202">
        <v>52</v>
      </c>
      <c r="Y6" s="202">
        <v>156</v>
      </c>
      <c r="Z6" s="202">
        <v>520</v>
      </c>
      <c r="AA6" s="202">
        <v>1040</v>
      </c>
      <c r="AB6" s="203">
        <v>2080</v>
      </c>
      <c r="AC6" s="88" t="s">
        <v>3</v>
      </c>
      <c r="AD6" s="192"/>
    </row>
    <row r="7" spans="2:30">
      <c r="B7" s="204" t="s">
        <v>57</v>
      </c>
      <c r="C7" s="205">
        <f>C10+C11*C9-C11*C13+(C12+C11*C13-C10)*EXP(-C9/C13)</f>
        <v>298.62443289311204</v>
      </c>
      <c r="D7" s="206" t="s">
        <v>5</v>
      </c>
      <c r="E7" s="24" t="s">
        <v>183</v>
      </c>
      <c r="Q7" s="196"/>
      <c r="R7" s="200"/>
      <c r="S7" s="207">
        <v>1</v>
      </c>
      <c r="T7" s="208">
        <f t="dataTable" ref="T7:AB15" dt2D="1" dtr="1" r1="C23" r2="C15"/>
        <v>474</v>
      </c>
      <c r="U7" s="209">
        <v>474</v>
      </c>
      <c r="V7" s="208">
        <v>474</v>
      </c>
      <c r="W7" s="208">
        <v>474</v>
      </c>
      <c r="X7" s="208">
        <v>474</v>
      </c>
      <c r="Y7" s="208">
        <v>474</v>
      </c>
      <c r="Z7" s="208">
        <v>474</v>
      </c>
      <c r="AA7" s="208">
        <v>474</v>
      </c>
      <c r="AB7" s="210">
        <v>474</v>
      </c>
      <c r="AC7" s="20" t="s">
        <v>219</v>
      </c>
      <c r="AD7" s="192"/>
    </row>
    <row r="8" spans="2:30">
      <c r="B8" s="211" t="s">
        <v>60</v>
      </c>
      <c r="D8" s="24"/>
      <c r="E8" s="24"/>
      <c r="Q8" s="196"/>
      <c r="R8" s="200"/>
      <c r="S8" s="207">
        <v>2</v>
      </c>
      <c r="T8" s="208">
        <v>474</v>
      </c>
      <c r="U8" s="208">
        <v>474</v>
      </c>
      <c r="V8" s="208">
        <v>473.99999999999989</v>
      </c>
      <c r="W8" s="208">
        <v>473.9999999999975</v>
      </c>
      <c r="X8" s="208">
        <v>473.99999999997431</v>
      </c>
      <c r="Y8" s="208">
        <v>473.99999999945095</v>
      </c>
      <c r="Z8" s="208">
        <v>473.99999999182438</v>
      </c>
      <c r="AA8" s="208">
        <v>473.99999996942881</v>
      </c>
      <c r="AB8" s="210">
        <v>473.99999990046928</v>
      </c>
      <c r="AC8" s="20" t="s">
        <v>220</v>
      </c>
      <c r="AD8" s="192"/>
    </row>
    <row r="9" spans="2:30">
      <c r="B9" s="212" t="s">
        <v>61</v>
      </c>
      <c r="C9" s="25">
        <v>6000</v>
      </c>
      <c r="D9" s="213" t="s">
        <v>4</v>
      </c>
      <c r="E9" s="214"/>
      <c r="Q9" s="196"/>
      <c r="R9" s="200"/>
      <c r="S9" s="207">
        <v>5</v>
      </c>
      <c r="T9" s="208">
        <v>473.99999979442902</v>
      </c>
      <c r="U9" s="208">
        <v>473.99998681176612</v>
      </c>
      <c r="V9" s="208">
        <v>473.99987245523533</v>
      </c>
      <c r="W9" s="208">
        <v>473.99955256471986</v>
      </c>
      <c r="X9" s="208">
        <v>473.99884271398378</v>
      </c>
      <c r="Y9" s="208">
        <v>473.99596052179561</v>
      </c>
      <c r="Z9" s="208">
        <v>473.98784975401531</v>
      </c>
      <c r="AA9" s="208">
        <v>473.97920714363812</v>
      </c>
      <c r="AB9" s="210">
        <v>473.96637974225371</v>
      </c>
      <c r="AC9" s="20" t="s">
        <v>221</v>
      </c>
      <c r="AD9" s="192"/>
    </row>
    <row r="10" spans="2:30" ht="14.7" customHeight="1">
      <c r="B10" s="215" t="s">
        <v>62</v>
      </c>
      <c r="C10" s="25">
        <v>288</v>
      </c>
      <c r="D10" s="12" t="s">
        <v>5</v>
      </c>
      <c r="E10" s="12"/>
      <c r="Q10" s="196"/>
      <c r="R10" s="200"/>
      <c r="S10" s="207">
        <v>10</v>
      </c>
      <c r="T10" s="208">
        <v>473.99429897170586</v>
      </c>
      <c r="U10" s="208">
        <v>473.9529996842756</v>
      </c>
      <c r="V10" s="208">
        <v>473.85187361105301</v>
      </c>
      <c r="W10" s="208">
        <v>473.72072766590895</v>
      </c>
      <c r="X10" s="208">
        <v>473.54878714684816</v>
      </c>
      <c r="Y10" s="208">
        <v>473.15233126785409</v>
      </c>
      <c r="Z10" s="208">
        <v>472.52342381601215</v>
      </c>
      <c r="AA10" s="208">
        <v>472.06459118880105</v>
      </c>
      <c r="AB10" s="210">
        <v>471.53488740915145</v>
      </c>
      <c r="AC10" s="20" t="s">
        <v>222</v>
      </c>
      <c r="AD10" s="192"/>
    </row>
    <row r="11" spans="2:30" ht="21.6" customHeight="1">
      <c r="B11" s="212" t="s">
        <v>63</v>
      </c>
      <c r="C11" s="26">
        <v>3.1E-2</v>
      </c>
      <c r="D11" s="213" t="s">
        <v>6</v>
      </c>
      <c r="E11" s="213"/>
      <c r="Q11" s="196"/>
      <c r="R11" s="200"/>
      <c r="S11" s="207">
        <v>15</v>
      </c>
      <c r="T11" s="208">
        <v>473.82135985192002</v>
      </c>
      <c r="U11" s="208">
        <v>473.26562844223236</v>
      </c>
      <c r="V11" s="208">
        <v>472.4162829623474</v>
      </c>
      <c r="W11" s="208">
        <v>471.57921411654002</v>
      </c>
      <c r="X11" s="208">
        <v>470.6632036783983</v>
      </c>
      <c r="Y11" s="208">
        <v>468.91309675015083</v>
      </c>
      <c r="Z11" s="208">
        <v>466.62810677362353</v>
      </c>
      <c r="AA11" s="208">
        <v>465.16677309924103</v>
      </c>
      <c r="AB11" s="210">
        <v>463.6169002456478</v>
      </c>
      <c r="AC11" s="20" t="s">
        <v>223</v>
      </c>
      <c r="AD11" s="192"/>
    </row>
    <row r="12" spans="2:30" ht="16.95" customHeight="1">
      <c r="B12" s="216" t="s">
        <v>64</v>
      </c>
      <c r="C12" s="27">
        <v>288</v>
      </c>
      <c r="D12" s="217" t="s">
        <v>5</v>
      </c>
      <c r="E12" s="217"/>
      <c r="Q12" s="196"/>
      <c r="R12" s="200"/>
      <c r="S12" s="207">
        <v>20</v>
      </c>
      <c r="T12" s="208">
        <v>472.99279985071018</v>
      </c>
      <c r="U12" s="208">
        <v>471.08394829117731</v>
      </c>
      <c r="V12" s="208">
        <v>468.80416538008438</v>
      </c>
      <c r="W12" s="208">
        <v>466.8529927508319</v>
      </c>
      <c r="X12" s="208">
        <v>464.90436103788346</v>
      </c>
      <c r="Y12" s="208">
        <v>461.51499715295586</v>
      </c>
      <c r="Z12" s="208">
        <v>457.50322895088971</v>
      </c>
      <c r="AA12" s="208">
        <v>455.10363896589945</v>
      </c>
      <c r="AB12" s="210">
        <v>452.66482668737194</v>
      </c>
      <c r="AC12" s="20" t="s">
        <v>224</v>
      </c>
      <c r="AD12" s="192"/>
    </row>
    <row r="13" spans="2:30" ht="16.95" customHeight="1">
      <c r="B13" s="218" t="s">
        <v>70</v>
      </c>
      <c r="C13" s="219">
        <f>C15*C16*C19/(2*PI()*C18)</f>
        <v>50500.807013149381</v>
      </c>
      <c r="D13" s="220"/>
      <c r="E13" s="391" t="s">
        <v>71</v>
      </c>
      <c r="Q13" s="196"/>
      <c r="R13" s="200"/>
      <c r="S13" s="207">
        <v>30</v>
      </c>
      <c r="T13" s="208">
        <v>468.29313700051176</v>
      </c>
      <c r="U13" s="208">
        <v>462.38514889571246</v>
      </c>
      <c r="V13" s="208">
        <v>456.91494418868581</v>
      </c>
      <c r="W13" s="208">
        <v>452.86007167582659</v>
      </c>
      <c r="X13" s="208">
        <v>449.16697720315744</v>
      </c>
      <c r="Y13" s="208">
        <v>443.31856445189982</v>
      </c>
      <c r="Z13" s="208">
        <v>437.04608776108205</v>
      </c>
      <c r="AA13" s="208">
        <v>433.53967250932573</v>
      </c>
      <c r="AB13" s="210">
        <v>430.1250772484093</v>
      </c>
      <c r="AC13" s="20" t="s">
        <v>225</v>
      </c>
      <c r="AD13" s="192"/>
    </row>
    <row r="14" spans="2:30" ht="16.95" customHeight="1">
      <c r="B14" s="211" t="s">
        <v>65</v>
      </c>
      <c r="D14" s="24"/>
      <c r="E14" s="392"/>
      <c r="Q14" s="196"/>
      <c r="R14" s="200"/>
      <c r="S14" s="207">
        <v>40</v>
      </c>
      <c r="T14" s="208">
        <v>460.39015209654241</v>
      </c>
      <c r="U14" s="208">
        <v>450.79245941488796</v>
      </c>
      <c r="V14" s="208">
        <v>442.99241724045419</v>
      </c>
      <c r="W14" s="208">
        <v>437.61696291392298</v>
      </c>
      <c r="X14" s="208">
        <v>432.9428602369548</v>
      </c>
      <c r="Y14" s="208">
        <v>425.87986545271917</v>
      </c>
      <c r="Z14" s="208">
        <v>418.6704431610529</v>
      </c>
      <c r="AA14" s="208">
        <v>414.77534890919179</v>
      </c>
      <c r="AB14" s="210">
        <v>411.0626605148824</v>
      </c>
      <c r="AC14" s="20" t="s">
        <v>226</v>
      </c>
      <c r="AD14" s="192"/>
    </row>
    <row r="15" spans="2:30" ht="16.95" customHeight="1" thickBot="1">
      <c r="B15" s="221" t="s">
        <v>316</v>
      </c>
      <c r="C15" s="222">
        <f>'Technical parameters PROD'!C10</f>
        <v>51</v>
      </c>
      <c r="D15" s="213" t="s">
        <v>41</v>
      </c>
      <c r="E15" s="214"/>
      <c r="Q15" s="196"/>
      <c r="R15" s="200"/>
      <c r="S15" s="223">
        <v>50</v>
      </c>
      <c r="T15" s="224">
        <v>451.0602124795343</v>
      </c>
      <c r="U15" s="224">
        <v>438.83091196690174</v>
      </c>
      <c r="V15" s="224">
        <v>429.64956297836392</v>
      </c>
      <c r="W15" s="224">
        <v>423.59491839490761</v>
      </c>
      <c r="X15" s="224">
        <v>418.47509390357482</v>
      </c>
      <c r="Y15" s="224">
        <v>410.95304873621564</v>
      </c>
      <c r="Z15" s="224">
        <v>403.50010697593069</v>
      </c>
      <c r="AA15" s="224">
        <v>399.55532410492151</v>
      </c>
      <c r="AB15" s="225">
        <v>395.84336520702959</v>
      </c>
      <c r="AC15" s="20" t="s">
        <v>227</v>
      </c>
      <c r="AD15" s="192"/>
    </row>
    <row r="16" spans="2:30" ht="16.95" customHeight="1">
      <c r="B16" s="215" t="s">
        <v>67</v>
      </c>
      <c r="C16" s="25">
        <v>4500</v>
      </c>
      <c r="D16" s="12" t="s">
        <v>42</v>
      </c>
      <c r="E16" s="226"/>
      <c r="Q16" s="196"/>
      <c r="T16" s="227">
        <f>$C$31</f>
        <v>474</v>
      </c>
      <c r="U16" s="227">
        <f t="shared" ref="U16:AB16" si="1">$C$31</f>
        <v>474</v>
      </c>
      <c r="V16" s="227">
        <f t="shared" si="1"/>
        <v>474</v>
      </c>
      <c r="W16" s="227">
        <f t="shared" si="1"/>
        <v>474</v>
      </c>
      <c r="X16" s="227">
        <f t="shared" si="1"/>
        <v>474</v>
      </c>
      <c r="Y16" s="227">
        <f t="shared" si="1"/>
        <v>474</v>
      </c>
      <c r="Z16" s="227">
        <f t="shared" si="1"/>
        <v>474</v>
      </c>
      <c r="AA16" s="227">
        <f t="shared" si="1"/>
        <v>474</v>
      </c>
      <c r="AB16" s="227">
        <f t="shared" si="1"/>
        <v>474</v>
      </c>
      <c r="AC16" s="2" t="s">
        <v>228</v>
      </c>
      <c r="AD16" s="192"/>
    </row>
    <row r="17" spans="2:30" ht="16.95" customHeight="1">
      <c r="B17" s="211" t="s">
        <v>72</v>
      </c>
      <c r="D17" s="24"/>
      <c r="E17" s="24"/>
      <c r="Q17" s="196"/>
      <c r="AD17" s="192"/>
    </row>
    <row r="18" spans="2:30" ht="47.7" customHeight="1">
      <c r="B18" s="228" t="s">
        <v>68</v>
      </c>
      <c r="C18" s="28">
        <v>4.5</v>
      </c>
      <c r="D18" s="229" t="s">
        <v>43</v>
      </c>
      <c r="E18" s="230" t="s">
        <v>180</v>
      </c>
      <c r="Q18" s="196"/>
      <c r="AD18" s="192"/>
    </row>
    <row r="19" spans="2:30" ht="16.95" customHeight="1">
      <c r="B19" s="218" t="s">
        <v>75</v>
      </c>
      <c r="C19" s="231">
        <f>-LN((C21/2)/(2*SQRT(C22*C24)))-0.29</f>
        <v>6.2216848750143523</v>
      </c>
      <c r="D19" s="220"/>
      <c r="E19" s="391" t="s">
        <v>73</v>
      </c>
      <c r="Q19" s="196"/>
      <c r="AD19" s="192"/>
    </row>
    <row r="20" spans="2:30" ht="16.95" customHeight="1">
      <c r="B20" s="211" t="s">
        <v>65</v>
      </c>
      <c r="D20" s="24"/>
      <c r="E20" s="392"/>
      <c r="Q20" s="196"/>
      <c r="AD20" s="192"/>
    </row>
    <row r="21" spans="2:30" ht="18" customHeight="1">
      <c r="B21" s="215" t="s">
        <v>69</v>
      </c>
      <c r="C21" s="26">
        <v>0.2</v>
      </c>
      <c r="D21" s="12" t="s">
        <v>4</v>
      </c>
      <c r="E21" s="226" t="s">
        <v>185</v>
      </c>
      <c r="Q21" s="196"/>
      <c r="AD21" s="192"/>
    </row>
    <row r="22" spans="2:30" ht="16.95" customHeight="1">
      <c r="B22" s="215" t="s">
        <v>76</v>
      </c>
      <c r="C22" s="232">
        <f>1.2*10^(-6)</f>
        <v>1.1999999999999999E-6</v>
      </c>
      <c r="D22" s="12" t="s">
        <v>74</v>
      </c>
      <c r="E22" s="226"/>
      <c r="Q22" s="196"/>
      <c r="AD22" s="192"/>
    </row>
    <row r="23" spans="2:30" ht="16.95" customHeight="1">
      <c r="B23" s="215" t="s">
        <v>87</v>
      </c>
      <c r="C23" s="25">
        <v>1560</v>
      </c>
      <c r="D23" s="12" t="s">
        <v>77</v>
      </c>
      <c r="E23" s="226" t="s">
        <v>260</v>
      </c>
      <c r="Q23" s="196"/>
      <c r="AD23" s="192"/>
    </row>
    <row r="24" spans="2:30" ht="16.95" customHeight="1">
      <c r="B24" s="216" t="s">
        <v>88</v>
      </c>
      <c r="C24" s="233">
        <f>C23*7*24*3600</f>
        <v>943488000</v>
      </c>
      <c r="D24" s="217" t="s">
        <v>2</v>
      </c>
      <c r="E24" s="234"/>
      <c r="Q24" s="196"/>
      <c r="AD24" s="192"/>
    </row>
    <row r="25" spans="2:30" ht="16.95" customHeight="1">
      <c r="Q25" s="196"/>
      <c r="AD25" s="192"/>
    </row>
    <row r="26" spans="2:30" ht="16.95" customHeight="1">
      <c r="B26" s="193" t="s">
        <v>78</v>
      </c>
      <c r="C26" s="194"/>
      <c r="D26" s="235"/>
      <c r="E26" s="195" t="s">
        <v>79</v>
      </c>
      <c r="Q26" s="196"/>
      <c r="AD26" s="192"/>
    </row>
    <row r="27" spans="2:30" ht="16.95" customHeight="1">
      <c r="B27" s="197" t="s">
        <v>56</v>
      </c>
      <c r="C27" s="198"/>
      <c r="D27" s="199"/>
      <c r="E27" s="394" t="s">
        <v>184</v>
      </c>
      <c r="Q27" s="196"/>
      <c r="AD27" s="192"/>
    </row>
    <row r="28" spans="2:30" ht="18" customHeight="1">
      <c r="B28" s="204" t="s">
        <v>80</v>
      </c>
      <c r="C28" s="205">
        <f>C31+C32*C30-C32*C34+(C33+C32*C34-C31)*EXP(-C30/C34)</f>
        <v>396.01364012958237</v>
      </c>
      <c r="D28" s="206" t="s">
        <v>5</v>
      </c>
      <c r="E28" s="394"/>
      <c r="Q28" s="196"/>
      <c r="AD28" s="192"/>
    </row>
    <row r="29" spans="2:30">
      <c r="B29" s="211" t="s">
        <v>60</v>
      </c>
      <c r="D29" s="24"/>
      <c r="E29" s="24"/>
      <c r="Q29" s="196"/>
      <c r="AD29" s="192"/>
    </row>
    <row r="30" spans="2:30">
      <c r="B30" s="212" t="s">
        <v>81</v>
      </c>
      <c r="C30" s="25">
        <v>7000</v>
      </c>
      <c r="D30" s="213" t="str">
        <f>IF(AND('Technical parameters PROD'!C9=0,C30&lt;&gt;0),"correct cell C30 and input '0'","m")</f>
        <v>m</v>
      </c>
      <c r="E30" s="214"/>
      <c r="Q30" s="196"/>
      <c r="AD30" s="192"/>
    </row>
    <row r="31" spans="2:30" ht="14.7" customHeight="1">
      <c r="B31" s="215" t="s">
        <v>82</v>
      </c>
      <c r="C31" s="236">
        <f>C10+C11*C9</f>
        <v>474</v>
      </c>
      <c r="D31" s="12" t="s">
        <v>5</v>
      </c>
      <c r="E31" s="12"/>
      <c r="Q31" s="196"/>
      <c r="AD31" s="192"/>
    </row>
    <row r="32" spans="2:30" ht="21.6" customHeight="1">
      <c r="B32" s="212" t="s">
        <v>63</v>
      </c>
      <c r="C32" s="237">
        <v>0</v>
      </c>
      <c r="D32" s="213" t="s">
        <v>6</v>
      </c>
      <c r="E32" s="213" t="s">
        <v>83</v>
      </c>
      <c r="Q32" s="196"/>
      <c r="AD32" s="192"/>
    </row>
    <row r="33" spans="2:30" ht="16.95" customHeight="1">
      <c r="B33" s="215" t="s">
        <v>84</v>
      </c>
      <c r="C33" s="238">
        <f>C7</f>
        <v>298.62443289311204</v>
      </c>
      <c r="D33" s="12" t="s">
        <v>5</v>
      </c>
      <c r="E33" s="12"/>
      <c r="Q33" s="196"/>
      <c r="AD33" s="192"/>
    </row>
    <row r="34" spans="2:30" ht="16.95" customHeight="1">
      <c r="B34" s="218" t="s">
        <v>70</v>
      </c>
      <c r="C34" s="239">
        <f>C36*C37*C40/(2*PI()*C39)</f>
        <v>8637.7541751265198</v>
      </c>
      <c r="D34" s="220"/>
      <c r="E34" s="391" t="s">
        <v>71</v>
      </c>
      <c r="Q34" s="196"/>
      <c r="AD34" s="192"/>
    </row>
    <row r="35" spans="2:30" ht="16.95" customHeight="1">
      <c r="B35" s="211" t="s">
        <v>65</v>
      </c>
      <c r="D35" s="24"/>
      <c r="E35" s="392"/>
      <c r="Q35" s="196"/>
      <c r="AD35" s="192"/>
    </row>
    <row r="36" spans="2:30" ht="16.95" customHeight="1" thickBot="1">
      <c r="B36" s="212" t="s">
        <v>309</v>
      </c>
      <c r="C36" s="240">
        <f>IF(NOT(C30&lt;=0),C15/'Technical parameters PROD'!C9,C15)</f>
        <v>8.5</v>
      </c>
      <c r="D36" s="213" t="s">
        <v>41</v>
      </c>
      <c r="E36" s="214"/>
      <c r="Q36" s="241"/>
      <c r="R36" s="242"/>
      <c r="S36" s="242"/>
      <c r="T36" s="242"/>
      <c r="U36" s="242"/>
      <c r="V36" s="242"/>
      <c r="W36" s="242"/>
      <c r="X36" s="242"/>
      <c r="Y36" s="242"/>
      <c r="Z36" s="242"/>
      <c r="AA36" s="242"/>
      <c r="AB36" s="242"/>
      <c r="AC36" s="242"/>
      <c r="AD36" s="243"/>
    </row>
    <row r="37" spans="2:30" ht="16.95" customHeight="1">
      <c r="B37" s="215" t="s">
        <v>67</v>
      </c>
      <c r="C37" s="236">
        <f>C16</f>
        <v>4500</v>
      </c>
      <c r="D37" s="12" t="s">
        <v>42</v>
      </c>
      <c r="E37" s="226"/>
    </row>
    <row r="38" spans="2:30" ht="16.95" customHeight="1">
      <c r="B38" s="211" t="s">
        <v>72</v>
      </c>
      <c r="D38" s="24"/>
      <c r="E38" s="24"/>
    </row>
    <row r="39" spans="2:30" ht="16.95" customHeight="1">
      <c r="B39" s="228" t="s">
        <v>68</v>
      </c>
      <c r="C39" s="244">
        <f>C18</f>
        <v>4.5</v>
      </c>
      <c r="D39" s="229" t="s">
        <v>43</v>
      </c>
      <c r="E39" s="245"/>
    </row>
    <row r="40" spans="2:30" ht="16.95" customHeight="1">
      <c r="B40" s="218" t="s">
        <v>75</v>
      </c>
      <c r="C40" s="231">
        <f>-LN((C42/2)/(2*SQRT(C43*C45)))-0.29</f>
        <v>6.3850129553157737</v>
      </c>
      <c r="D40" s="220"/>
      <c r="E40" s="391" t="s">
        <v>73</v>
      </c>
    </row>
    <row r="41" spans="2:30" ht="16.95" customHeight="1">
      <c r="B41" s="211" t="s">
        <v>65</v>
      </c>
      <c r="D41" s="24"/>
      <c r="E41" s="392"/>
    </row>
    <row r="42" spans="2:30" ht="16.95" customHeight="1">
      <c r="B42" s="215" t="s">
        <v>69</v>
      </c>
      <c r="C42" s="246">
        <f>IF(13.375*0.0254/2&lt;C21,13.375*0.0254/2,C21)</f>
        <v>0.1698625</v>
      </c>
      <c r="D42" s="12" t="s">
        <v>4</v>
      </c>
      <c r="E42" s="226" t="s">
        <v>318</v>
      </c>
    </row>
    <row r="43" spans="2:30" ht="16.95" customHeight="1">
      <c r="B43" s="215" t="s">
        <v>76</v>
      </c>
      <c r="C43" s="232">
        <f>1.2*10^(-6)</f>
        <v>1.1999999999999999E-6</v>
      </c>
      <c r="D43" s="12" t="s">
        <v>74</v>
      </c>
      <c r="E43" s="226"/>
    </row>
    <row r="44" spans="2:30" ht="16.95" customHeight="1">
      <c r="B44" s="215" t="s">
        <v>87</v>
      </c>
      <c r="C44" s="236">
        <f>C23</f>
        <v>1560</v>
      </c>
      <c r="D44" s="12" t="s">
        <v>77</v>
      </c>
      <c r="E44" s="226" t="s">
        <v>301</v>
      </c>
    </row>
    <row r="45" spans="2:30" ht="16.95" customHeight="1">
      <c r="B45" s="216" t="s">
        <v>88</v>
      </c>
      <c r="C45" s="233">
        <f>C44*7*24*3600</f>
        <v>943488000</v>
      </c>
      <c r="D45" s="217" t="s">
        <v>2</v>
      </c>
      <c r="E45" s="234"/>
    </row>
    <row r="46" spans="2:30" ht="16.95" customHeight="1"/>
    <row r="47" spans="2:30" ht="16.95" customHeight="1">
      <c r="B47" s="193" t="s">
        <v>85</v>
      </c>
      <c r="C47" s="194"/>
      <c r="D47" s="235"/>
      <c r="E47" s="195" t="s">
        <v>86</v>
      </c>
    </row>
    <row r="48" spans="2:30" ht="16.95" customHeight="1">
      <c r="B48" s="197" t="s">
        <v>56</v>
      </c>
      <c r="C48" s="198"/>
      <c r="D48" s="199"/>
      <c r="E48" s="394" t="s">
        <v>181</v>
      </c>
    </row>
    <row r="49" spans="2:5" ht="16.95" customHeight="1">
      <c r="B49" s="204" t="s">
        <v>57</v>
      </c>
      <c r="C49" s="205">
        <f>IF(C52+C53*C51-C53*C55+(C54+C53*C55-C52)*EXP(-C51/C55)&lt;C10,C10,C52+C53*C51-C53*C55+(C54+C53*C55-C52)*EXP(-C51/C55))</f>
        <v>373.28914292426111</v>
      </c>
      <c r="D49" s="206" t="s">
        <v>5</v>
      </c>
      <c r="E49" s="394"/>
    </row>
    <row r="50" spans="2:5">
      <c r="B50" s="211" t="s">
        <v>60</v>
      </c>
      <c r="D50" s="24"/>
      <c r="E50" s="24"/>
    </row>
    <row r="51" spans="2:5" ht="14.7" customHeight="1">
      <c r="B51" s="212" t="s">
        <v>61</v>
      </c>
      <c r="C51" s="222">
        <f>C9</f>
        <v>6000</v>
      </c>
      <c r="D51" s="213" t="s">
        <v>4</v>
      </c>
      <c r="E51" s="214" t="s">
        <v>89</v>
      </c>
    </row>
    <row r="52" spans="2:5" ht="21.6" customHeight="1">
      <c r="B52" s="215" t="s">
        <v>62</v>
      </c>
      <c r="C52" s="236">
        <f>C10</f>
        <v>288</v>
      </c>
      <c r="D52" s="12" t="s">
        <v>5</v>
      </c>
      <c r="E52" s="12" t="s">
        <v>90</v>
      </c>
    </row>
    <row r="53" spans="2:5" ht="21.6" customHeight="1">
      <c r="B53" s="212" t="s">
        <v>63</v>
      </c>
      <c r="C53" s="246">
        <f>-C11</f>
        <v>-3.1E-2</v>
      </c>
      <c r="D53" s="213" t="s">
        <v>6</v>
      </c>
      <c r="E53" s="213" t="s">
        <v>91</v>
      </c>
    </row>
    <row r="54" spans="2:5" ht="16.95" customHeight="1">
      <c r="B54" s="216" t="s">
        <v>182</v>
      </c>
      <c r="C54" s="247">
        <f>C28</f>
        <v>396.01364012958237</v>
      </c>
      <c r="D54" s="217" t="s">
        <v>5</v>
      </c>
      <c r="E54" s="217"/>
    </row>
    <row r="55" spans="2:5" ht="16.95" customHeight="1">
      <c r="B55" s="218" t="s">
        <v>70</v>
      </c>
      <c r="C55" s="219">
        <f>C57*C58*C61/(2*PI()*C60)</f>
        <v>50500.807013149381</v>
      </c>
      <c r="D55" s="220"/>
      <c r="E55" s="391" t="s">
        <v>71</v>
      </c>
    </row>
    <row r="56" spans="2:5" ht="16.95" customHeight="1">
      <c r="B56" s="211" t="s">
        <v>65</v>
      </c>
      <c r="D56" s="24"/>
      <c r="E56" s="392"/>
    </row>
    <row r="57" spans="2:5" ht="16.95" customHeight="1">
      <c r="B57" s="212" t="s">
        <v>66</v>
      </c>
      <c r="C57" s="222">
        <f>C15</f>
        <v>51</v>
      </c>
      <c r="D57" s="213" t="s">
        <v>41</v>
      </c>
      <c r="E57" s="214"/>
    </row>
    <row r="58" spans="2:5" ht="16.95" customHeight="1">
      <c r="B58" s="215" t="s">
        <v>67</v>
      </c>
      <c r="C58" s="236">
        <f>C16</f>
        <v>4500</v>
      </c>
      <c r="D58" s="12" t="s">
        <v>42</v>
      </c>
      <c r="E58" s="226"/>
    </row>
    <row r="59" spans="2:5" ht="16.95" customHeight="1">
      <c r="B59" s="211" t="s">
        <v>72</v>
      </c>
      <c r="D59" s="24"/>
      <c r="E59" s="24"/>
    </row>
    <row r="60" spans="2:5" ht="16.95" customHeight="1">
      <c r="B60" s="228" t="s">
        <v>68</v>
      </c>
      <c r="C60" s="244">
        <f>C18</f>
        <v>4.5</v>
      </c>
      <c r="D60" s="229" t="s">
        <v>43</v>
      </c>
      <c r="E60" s="245"/>
    </row>
    <row r="61" spans="2:5" ht="16.95" customHeight="1">
      <c r="B61" s="218" t="s">
        <v>75</v>
      </c>
      <c r="C61" s="231">
        <f>-LN((C63/2)/(2*SQRT(C64*C66)))-0.29</f>
        <v>6.2216848750143523</v>
      </c>
      <c r="D61" s="220"/>
      <c r="E61" s="391" t="s">
        <v>73</v>
      </c>
    </row>
    <row r="62" spans="2:5" ht="16.95" customHeight="1">
      <c r="B62" s="211" t="s">
        <v>65</v>
      </c>
      <c r="D62" s="24"/>
      <c r="E62" s="392"/>
    </row>
    <row r="63" spans="2:5" ht="16.95" customHeight="1">
      <c r="B63" s="215" t="s">
        <v>69</v>
      </c>
      <c r="C63" s="26">
        <f>0.2</f>
        <v>0.2</v>
      </c>
      <c r="D63" s="12" t="s">
        <v>4</v>
      </c>
      <c r="E63" s="226" t="s">
        <v>186</v>
      </c>
    </row>
    <row r="64" spans="2:5" ht="16.95" customHeight="1">
      <c r="B64" s="215" t="s">
        <v>76</v>
      </c>
      <c r="C64" s="232">
        <f>1.2*10^(-6)</f>
        <v>1.1999999999999999E-6</v>
      </c>
      <c r="D64" s="12" t="s">
        <v>74</v>
      </c>
      <c r="E64" s="226"/>
    </row>
    <row r="65" spans="2:5" ht="16.95" customHeight="1">
      <c r="B65" s="215" t="s">
        <v>87</v>
      </c>
      <c r="C65" s="236">
        <f>C44</f>
        <v>1560</v>
      </c>
      <c r="D65" s="12" t="s">
        <v>77</v>
      </c>
      <c r="E65" s="226"/>
    </row>
    <row r="66" spans="2:5" ht="16.95" customHeight="1">
      <c r="B66" s="216" t="s">
        <v>88</v>
      </c>
      <c r="C66" s="233">
        <f>C65*7*24*3600</f>
        <v>943488000</v>
      </c>
      <c r="D66" s="217" t="s">
        <v>2</v>
      </c>
      <c r="E66" s="234"/>
    </row>
    <row r="67" spans="2:5" ht="16.95" customHeight="1">
      <c r="B67" s="393" t="s">
        <v>92</v>
      </c>
      <c r="C67" s="393"/>
      <c r="D67" s="393"/>
      <c r="E67" s="393"/>
    </row>
    <row r="68" spans="2:5" ht="16.95" customHeight="1">
      <c r="B68" s="248"/>
    </row>
    <row r="69" spans="2:5" ht="16.95" customHeight="1"/>
    <row r="70" spans="2:5" ht="31.95" customHeight="1"/>
    <row r="71" spans="2:5" ht="16.95" customHeight="1"/>
    <row r="72" spans="2:5" ht="16.95" customHeight="1"/>
    <row r="73" spans="2:5" ht="16.95" customHeight="1"/>
  </sheetData>
  <sheetProtection algorithmName="SHA-512" hashValue="sgAIoA9QLrBpkbtGCL5w6Io1W3CRrBxnLChWgL1OZoh8TFD2wVNEuFqh5axnEGDpUB8VAmeA4/76CWW/qRuBXw==" saltValue="ne3RtRfmW/Ion0g9SaM1LA==" spinCount="100000" sheet="1" objects="1" scenarios="1" selectLockedCells="1"/>
  <mergeCells count="9">
    <mergeCell ref="E61:E62"/>
    <mergeCell ref="B67:E67"/>
    <mergeCell ref="E13:E14"/>
    <mergeCell ref="E19:E20"/>
    <mergeCell ref="E34:E35"/>
    <mergeCell ref="E40:E41"/>
    <mergeCell ref="E55:E56"/>
    <mergeCell ref="E48:E49"/>
    <mergeCell ref="E27:E28"/>
  </mergeCells>
  <pageMargins left="0.7" right="0.7" top="0.78740157499999996" bottom="0.78740157499999996" header="0.3" footer="0.3"/>
  <pageSetup paperSize="9" orientation="portrait" r:id="rId1"/>
  <ignoredErrors>
    <ignoredError sqref="C22 C24 C31 C33"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D94D5-C590-4448-A8DE-75491118FA80}">
  <dimension ref="B1:I47"/>
  <sheetViews>
    <sheetView showGridLines="0" topLeftCell="A5" zoomScale="94" zoomScaleNormal="94" workbookViewId="0">
      <selection activeCell="C9" sqref="C9"/>
    </sheetView>
  </sheetViews>
  <sheetFormatPr baseColWidth="10" defaultColWidth="11.5546875" defaultRowHeight="14.4"/>
  <cols>
    <col min="1" max="1" width="3.6640625" style="2" customWidth="1"/>
    <col min="2" max="2" width="49.44140625" style="2" customWidth="1"/>
    <col min="3" max="3" width="19.44140625" style="2" customWidth="1"/>
    <col min="4" max="4" width="12.44140625" style="2" customWidth="1"/>
    <col min="5" max="5" width="159.44140625" style="2" customWidth="1"/>
    <col min="6" max="16384" width="11.5546875" style="2"/>
  </cols>
  <sheetData>
    <row r="1" spans="2:5" ht="18">
      <c r="B1" s="7" t="s">
        <v>94</v>
      </c>
    </row>
    <row r="2" spans="2:5">
      <c r="B2" s="21" t="s">
        <v>53</v>
      </c>
    </row>
    <row r="3" spans="2:5" ht="18">
      <c r="B3" s="187"/>
    </row>
    <row r="4" spans="2:5" ht="6" customHeight="1">
      <c r="B4" s="249"/>
      <c r="C4" s="250"/>
      <c r="D4" s="22"/>
      <c r="E4" s="250"/>
    </row>
    <row r="5" spans="2:5" ht="20.7" customHeight="1">
      <c r="B5" s="251" t="s">
        <v>55</v>
      </c>
      <c r="C5" s="252"/>
      <c r="D5" s="235"/>
      <c r="E5" s="195" t="s">
        <v>54</v>
      </c>
    </row>
    <row r="6" spans="2:5" ht="20.7" customHeight="1">
      <c r="B6" s="253" t="s">
        <v>207</v>
      </c>
      <c r="C6" s="254">
        <f>'Technical parameters TEMP'!C9</f>
        <v>6000</v>
      </c>
      <c r="D6" s="255" t="s">
        <v>4</v>
      </c>
      <c r="E6" s="255" t="s">
        <v>217</v>
      </c>
    </row>
    <row r="7" spans="2:5" ht="20.7" customHeight="1">
      <c r="B7" s="256" t="s">
        <v>216</v>
      </c>
      <c r="C7" s="257">
        <f>'Technical parameters TEMP'!C30</f>
        <v>7000</v>
      </c>
      <c r="D7" s="12" t="s">
        <v>4</v>
      </c>
      <c r="E7" s="12"/>
    </row>
    <row r="8" spans="2:5" ht="17.7" customHeight="1">
      <c r="B8" s="258" t="s">
        <v>215</v>
      </c>
      <c r="C8" s="259">
        <v>1</v>
      </c>
      <c r="D8" s="213"/>
      <c r="E8" s="213" t="s">
        <v>320</v>
      </c>
    </row>
    <row r="9" spans="2:5" ht="19.5" customHeight="1">
      <c r="B9" s="256" t="s">
        <v>202</v>
      </c>
      <c r="C9" s="184">
        <v>6</v>
      </c>
      <c r="D9" s="260" t="str">
        <f>IF(AND('Technical parameters TEMP'!C30=0,C9&lt;&gt;0),"correct cell C9 and input '0'","")</f>
        <v/>
      </c>
      <c r="E9" s="12" t="s">
        <v>319</v>
      </c>
    </row>
    <row r="10" spans="2:5" ht="20.7" customHeight="1">
      <c r="B10" s="258" t="s">
        <v>265</v>
      </c>
      <c r="C10" s="184">
        <v>51</v>
      </c>
      <c r="D10" s="213" t="s">
        <v>30</v>
      </c>
      <c r="E10" s="213"/>
    </row>
    <row r="11" spans="2:5" ht="20.7" customHeight="1">
      <c r="B11" s="256" t="s">
        <v>311</v>
      </c>
      <c r="C11" s="257">
        <f>IF(C9&lt;1,C10,C10/C9)</f>
        <v>8.5</v>
      </c>
      <c r="D11" s="12" t="s">
        <v>30</v>
      </c>
      <c r="E11" s="12" t="s">
        <v>312</v>
      </c>
    </row>
    <row r="12" spans="2:5" ht="20.7" customHeight="1">
      <c r="B12" s="258" t="s">
        <v>266</v>
      </c>
      <c r="C12" s="261">
        <f>C10*'Technical parameters TEMP'!C16*('Technical parameters TEMP'!C28-'Technical parameters TEMP'!C12)/1000000</f>
        <v>24.789130409739155</v>
      </c>
      <c r="D12" s="213" t="s">
        <v>96</v>
      </c>
      <c r="E12" s="213" t="s">
        <v>279</v>
      </c>
    </row>
    <row r="13" spans="2:5" ht="21" customHeight="1">
      <c r="B13" s="262" t="s">
        <v>272</v>
      </c>
      <c r="C13" s="263" t="str">
        <f>IF(MAX('Technical parameters TEMP'!C7,'Technical parameters TEMP'!C28,'Technical parameters TEMP'!C49)-273.15&gt;90,"Electricity, Heat, CO2 Allowances","Heat, CO2 Allowances")</f>
        <v>Electricity, Heat, CO2 Allowances</v>
      </c>
      <c r="D13" s="217"/>
      <c r="E13" s="217"/>
    </row>
    <row r="14" spans="2:5" ht="10.35" customHeight="1">
      <c r="C14" s="17"/>
    </row>
    <row r="15" spans="2:5" ht="20.7" customHeight="1">
      <c r="B15" s="251" t="s">
        <v>209</v>
      </c>
      <c r="C15" s="252"/>
      <c r="D15" s="235"/>
      <c r="E15" s="195"/>
    </row>
    <row r="16" spans="2:5" ht="21" customHeight="1">
      <c r="B16" s="258" t="s">
        <v>214</v>
      </c>
      <c r="C16" s="264">
        <f>IF(MAX('Technical parameters TEMP'!C49,'Technical parameters TEMP'!C28,'Technical parameters TEMP'!C7)-273.15&gt;90,MAX('Technical parameters TEMP'!C49,'Technical parameters TEMP'!C28,'Technical parameters TEMP'!C7)-273.15,"n/a")</f>
        <v>122.86364012958239</v>
      </c>
      <c r="D16" s="213" t="s">
        <v>52</v>
      </c>
      <c r="E16" s="213" t="s">
        <v>280</v>
      </c>
    </row>
    <row r="17" spans="2:5" ht="21" customHeight="1">
      <c r="B17" s="256" t="s">
        <v>33</v>
      </c>
      <c r="C17" s="265">
        <v>90</v>
      </c>
      <c r="D17" s="12" t="s">
        <v>52</v>
      </c>
      <c r="E17" s="226" t="s">
        <v>281</v>
      </c>
    </row>
    <row r="18" spans="2:5" ht="21" customHeight="1">
      <c r="B18" s="258" t="s">
        <v>187</v>
      </c>
      <c r="C18" s="29">
        <v>0.55000000000000004</v>
      </c>
      <c r="D18" s="213"/>
      <c r="E18" s="214"/>
    </row>
    <row r="19" spans="2:5" ht="21" customHeight="1">
      <c r="B19" s="256" t="s">
        <v>34</v>
      </c>
      <c r="C19" s="266">
        <f>IF(NOT(C16="n/a"),C18*(1-('Technical parameters TEMP'!C12)/('Technical parameters TEMP'!C28)),"n/a")</f>
        <v>0.15001377743410849</v>
      </c>
      <c r="D19" s="12"/>
      <c r="E19" s="226" t="s">
        <v>267</v>
      </c>
    </row>
    <row r="20" spans="2:5" ht="21" customHeight="1">
      <c r="B20" s="258" t="s">
        <v>29</v>
      </c>
      <c r="C20" s="267">
        <f>IF(MAX('Technical parameters TEMP'!C49,'Technical parameters TEMP'!C28,'Technical parameters TEMP'!C6)-273.15&gt;100,C19*'Technical parameters TEMP'!C16*C10*('Technical parameters PROD'!C16-'Technical parameters PROD'!C17)/10^6,"n/a")</f>
        <v>1.1314347236989393</v>
      </c>
      <c r="D20" s="213" t="s">
        <v>95</v>
      </c>
      <c r="E20" s="213" t="s">
        <v>267</v>
      </c>
    </row>
    <row r="21" spans="2:5" ht="21" customHeight="1">
      <c r="B21" s="216" t="s">
        <v>99</v>
      </c>
      <c r="C21" s="279">
        <v>0</v>
      </c>
      <c r="D21" s="217" t="s">
        <v>36</v>
      </c>
      <c r="E21" s="268" t="s">
        <v>324</v>
      </c>
    </row>
    <row r="22" spans="2:5" ht="10.35" customHeight="1">
      <c r="B22" s="269"/>
      <c r="C22" s="270"/>
      <c r="D22" s="22"/>
      <c r="E22" s="271"/>
    </row>
    <row r="23" spans="2:5" ht="20.7" customHeight="1">
      <c r="B23" s="251" t="s">
        <v>208</v>
      </c>
      <c r="C23" s="252"/>
      <c r="D23" s="235"/>
      <c r="E23" s="195"/>
    </row>
    <row r="24" spans="2:5" ht="21" customHeight="1">
      <c r="B24" s="258" t="s">
        <v>262</v>
      </c>
      <c r="C24" s="264">
        <f>IF('Technical parameters TEMP'!$C$28&lt;'Technical parameters TEMP'!C12,"n/a",MIN('Technical parameters TEMP'!C28-273.15,90))</f>
        <v>90</v>
      </c>
      <c r="D24" s="213" t="s">
        <v>52</v>
      </c>
      <c r="E24" s="213" t="s">
        <v>97</v>
      </c>
    </row>
    <row r="25" spans="2:5" ht="21" customHeight="1">
      <c r="B25" s="256" t="s">
        <v>261</v>
      </c>
      <c r="C25" s="272">
        <f>'Technical parameters TEMP'!C12-273.15</f>
        <v>14.850000000000023</v>
      </c>
      <c r="D25" s="12" t="s">
        <v>52</v>
      </c>
      <c r="E25" s="226" t="s">
        <v>142</v>
      </c>
    </row>
    <row r="26" spans="2:5" ht="21" customHeight="1">
      <c r="B26" s="258" t="s">
        <v>29</v>
      </c>
      <c r="C26" s="267">
        <f>(C10*'Technical parameters TEMP'!C16*('Technical parameters PROD'!C24-'Technical parameters PROD'!C25)/10^6)</f>
        <v>17.246924999999997</v>
      </c>
      <c r="D26" s="213" t="s">
        <v>96</v>
      </c>
      <c r="E26" s="213" t="s">
        <v>267</v>
      </c>
    </row>
    <row r="27" spans="2:5" ht="21" customHeight="1">
      <c r="B27" s="216" t="s">
        <v>99</v>
      </c>
      <c r="C27" s="280">
        <v>0</v>
      </c>
      <c r="D27" s="217" t="s">
        <v>36</v>
      </c>
      <c r="E27" s="268" t="s">
        <v>325</v>
      </c>
    </row>
    <row r="28" spans="2:5" ht="21" customHeight="1">
      <c r="B28" s="250"/>
      <c r="C28" s="273"/>
      <c r="D28" s="22"/>
      <c r="E28" s="274"/>
    </row>
    <row r="29" spans="2:5" ht="20.7" customHeight="1">
      <c r="B29" s="251" t="s">
        <v>98</v>
      </c>
      <c r="C29" s="252"/>
      <c r="D29" s="235"/>
      <c r="E29" s="195"/>
    </row>
    <row r="30" spans="2:5" ht="20.7" customHeight="1">
      <c r="B30" s="262" t="s">
        <v>99</v>
      </c>
      <c r="C30" s="281">
        <v>0</v>
      </c>
      <c r="D30" s="217" t="s">
        <v>100</v>
      </c>
      <c r="E30" s="268" t="s">
        <v>323</v>
      </c>
    </row>
    <row r="31" spans="2:5" ht="20.7" customHeight="1">
      <c r="B31" s="269"/>
      <c r="C31" s="275"/>
      <c r="D31" s="22"/>
      <c r="E31" s="276"/>
    </row>
    <row r="36" spans="2:9" ht="16.95" customHeight="1">
      <c r="B36" s="248"/>
    </row>
    <row r="37" spans="2:9" ht="16.95" customHeight="1"/>
    <row r="38" spans="2:9" ht="16.95" customHeight="1">
      <c r="H38" s="20"/>
    </row>
    <row r="39" spans="2:9">
      <c r="B39" s="277"/>
    </row>
    <row r="43" spans="2:9">
      <c r="I43" s="278"/>
    </row>
    <row r="47" spans="2:9">
      <c r="H47" s="20"/>
    </row>
  </sheetData>
  <sheetProtection algorithmName="SHA-512" hashValue="uHF/mo5aPDTusDNmT8FwhItmZAhX8Vn69jaoeh3/gDqqWrxb+bI5Bbq4xoW8vV97gxJztYjoXHXY1v4z5h+J/Q==" saltValue="WnGeCj3yX/kdp0LzARs3Aw==" spinCount="100000" sheet="1" objects="1" scenarios="1" selectLockedCells="1"/>
  <conditionalFormatting sqref="C17">
    <cfRule type="expression" dxfId="5" priority="6">
      <formula>$C$13="Heat + electricity"</formula>
    </cfRule>
    <cfRule type="expression" dxfId="4" priority="8">
      <formula>$C$13="Only electricity"</formula>
    </cfRule>
  </conditionalFormatting>
  <dataValidations count="4">
    <dataValidation type="custom" allowBlank="1" showInputMessage="1" showErrorMessage="1" errorTitle="Not possible" error="Only possible if Cell C6 is &quot;Only electricity&quot; or &quot;Heat + electricity&quot;" sqref="C28" xr:uid="{BE460C96-268B-4915-B2DB-8CD379A0F929}">
      <formula1>OR(#REF!="Only electricity",#REF!="Heat + electricity")</formula1>
    </dataValidation>
    <dataValidation type="custom" allowBlank="1" showInputMessage="1" showErrorMessage="1" errorTitle="Not possible" error="Only possible if Cell C6 is &quot;Only electricity&quot; or &quot;Heat + electricity&quot;" sqref="C22" xr:uid="{EDF036F3-4512-4E5E-BFD3-49B63D1F9FCB}">
      <formula1>OR(#REF!="Only electricity",#REF!="Heat + electricity")</formula1>
    </dataValidation>
    <dataValidation type="custom" allowBlank="1" showInputMessage="1" showErrorMessage="1" errorTitle="Not possible" error="Only possible if Cell C6 is &quot;Only electricity&quot; or &quot;Heat + electricity&quot;" sqref="C17:C18" xr:uid="{83E94CD2-D236-46B7-B829-E56165A1F57C}">
      <formula1>OR(C13="Only electricity",C13="Heat + electricity")</formula1>
    </dataValidation>
    <dataValidation type="custom" allowBlank="1" showInputMessage="1" showErrorMessage="1" errorTitle="Not possible" error="Only possible if Cell C6 is &quot;Only heat&quot; or &quot;Heat + electricity&quot;" sqref="C25" xr:uid="{41AF1281-C488-4DF4-8DE1-7530B6EC6FEF}">
      <formula1>OR(C13="Only heat",C13="Heat + electricity")</formula1>
    </dataValidation>
  </dataValidations>
  <pageMargins left="0.7" right="0.7" top="0.78740157499999996" bottom="0.78740157499999996" header="0.3" footer="0.3"/>
  <pageSetup paperSize="9" orientation="portrait" r:id="rId1"/>
  <ignoredErrors>
    <ignoredError sqref="C25"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DFEF8-C1B4-4751-A356-BE1666343428}">
  <dimension ref="B1:AE100"/>
  <sheetViews>
    <sheetView showGridLines="0" topLeftCell="A21" zoomScale="80" zoomScaleNormal="80" workbookViewId="0">
      <selection activeCell="C20" sqref="C20"/>
    </sheetView>
  </sheetViews>
  <sheetFormatPr baseColWidth="10" defaultColWidth="11.5546875" defaultRowHeight="14.4"/>
  <cols>
    <col min="1" max="1" width="3.6640625" style="2" customWidth="1"/>
    <col min="2" max="2" width="67.6640625" style="2" customWidth="1"/>
    <col min="3" max="3" width="16.6640625" style="2" customWidth="1"/>
    <col min="4" max="4" width="26.44140625" style="2" customWidth="1"/>
    <col min="5" max="5" width="106.5546875" style="2" customWidth="1"/>
    <col min="6" max="6" width="11.5546875" style="2"/>
    <col min="7" max="7" width="14.33203125" style="2" bestFit="1" customWidth="1"/>
    <col min="8" max="18" width="11.5546875" style="2"/>
    <col min="19" max="19" width="45.5546875" style="2" customWidth="1"/>
    <col min="20" max="20" width="24.33203125" style="2" customWidth="1"/>
    <col min="21" max="16384" width="11.5546875" style="2"/>
  </cols>
  <sheetData>
    <row r="1" spans="2:7" ht="18">
      <c r="B1" s="7" t="s">
        <v>101</v>
      </c>
    </row>
    <row r="2" spans="2:7">
      <c r="B2" s="21" t="s">
        <v>53</v>
      </c>
    </row>
    <row r="3" spans="2:7" ht="18">
      <c r="B3" s="187"/>
    </row>
    <row r="4" spans="2:7" ht="6" customHeight="1">
      <c r="B4" s="249"/>
      <c r="C4" s="250"/>
      <c r="D4" s="22"/>
      <c r="E4" s="250"/>
    </row>
    <row r="5" spans="2:7" ht="20.7" customHeight="1">
      <c r="B5" s="251" t="s">
        <v>118</v>
      </c>
      <c r="C5" s="252"/>
      <c r="D5" s="235"/>
      <c r="E5" s="195" t="s">
        <v>54</v>
      </c>
    </row>
    <row r="6" spans="2:7" ht="21" customHeight="1">
      <c r="B6" s="282" t="s">
        <v>111</v>
      </c>
      <c r="C6" s="265">
        <v>8000</v>
      </c>
      <c r="D6" s="283" t="s">
        <v>113</v>
      </c>
      <c r="E6" s="283" t="s">
        <v>110</v>
      </c>
    </row>
    <row r="7" spans="2:7" ht="21" customHeight="1">
      <c r="B7" s="258" t="s">
        <v>112</v>
      </c>
      <c r="C7" s="284">
        <v>4000</v>
      </c>
      <c r="D7" s="213" t="s">
        <v>113</v>
      </c>
      <c r="E7" s="213" t="s">
        <v>110</v>
      </c>
    </row>
    <row r="8" spans="2:7" ht="21" customHeight="1">
      <c r="B8" s="215" t="s">
        <v>114</v>
      </c>
      <c r="C8" s="256">
        <v>30</v>
      </c>
      <c r="D8" s="12" t="s">
        <v>115</v>
      </c>
      <c r="E8" s="285"/>
    </row>
    <row r="9" spans="2:7" ht="21" customHeight="1">
      <c r="B9" s="286" t="s">
        <v>116</v>
      </c>
      <c r="C9" s="258">
        <v>25</v>
      </c>
      <c r="D9" s="213" t="s">
        <v>115</v>
      </c>
      <c r="E9" s="287"/>
    </row>
    <row r="10" spans="2:7" ht="21" customHeight="1">
      <c r="B10" s="288" t="s">
        <v>126</v>
      </c>
      <c r="C10" s="282"/>
      <c r="D10" s="283"/>
      <c r="E10" s="289"/>
    </row>
    <row r="11" spans="2:7" ht="21" customHeight="1">
      <c r="B11" s="290" t="s">
        <v>238</v>
      </c>
      <c r="C11" s="291">
        <v>0.01</v>
      </c>
      <c r="D11" s="283" t="s">
        <v>117</v>
      </c>
      <c r="E11" s="292" t="s">
        <v>169</v>
      </c>
    </row>
    <row r="12" spans="2:7" ht="21" customHeight="1">
      <c r="B12" s="290" t="s">
        <v>153</v>
      </c>
      <c r="C12" s="291">
        <v>0.01</v>
      </c>
      <c r="D12" s="283" t="s">
        <v>117</v>
      </c>
      <c r="E12" s="292" t="s">
        <v>170</v>
      </c>
    </row>
    <row r="13" spans="2:7" ht="21" customHeight="1">
      <c r="B13" s="290" t="s">
        <v>168</v>
      </c>
      <c r="C13" s="291">
        <v>0.01</v>
      </c>
      <c r="D13" s="283" t="s">
        <v>117</v>
      </c>
      <c r="E13" s="292" t="s">
        <v>171</v>
      </c>
    </row>
    <row r="14" spans="2:7" ht="21" customHeight="1">
      <c r="B14" s="212" t="s">
        <v>127</v>
      </c>
      <c r="C14" s="293">
        <v>0.01</v>
      </c>
      <c r="D14" s="19"/>
      <c r="E14" s="294"/>
    </row>
    <row r="15" spans="2:7" ht="21" customHeight="1">
      <c r="B15" s="251" t="s">
        <v>120</v>
      </c>
      <c r="C15" s="252"/>
      <c r="D15" s="235"/>
      <c r="E15" s="195"/>
    </row>
    <row r="16" spans="2:7" ht="21" customHeight="1">
      <c r="B16" s="212" t="s">
        <v>38</v>
      </c>
      <c r="C16" s="295">
        <f>C17+C21+C22</f>
        <v>429159731.96807939</v>
      </c>
      <c r="D16" s="19"/>
      <c r="E16" s="294" t="s">
        <v>210</v>
      </c>
      <c r="G16" s="296"/>
    </row>
    <row r="17" spans="2:5">
      <c r="B17" s="297" t="s">
        <v>237</v>
      </c>
      <c r="C17" s="295" cm="1">
        <f t="array" ref="C17">10^6*IF('Technical parameters PROD'!C9=0,(TREND(H49:H58,G49:G58,'Technical parameters PROD'!C6)),TREND(H49:H58,G49:G58,('Technical parameters PROD'!C6)+'Technical parameters PROD'!C7)+IF('Technical parameters PROD'!C9&gt;1,INDEX('Economic parameters'!E79:G97,'Technical parameters PROD'!C9,3),0))</f>
        <v>422633993.07328361</v>
      </c>
      <c r="D17" s="19"/>
      <c r="E17" s="294" t="s">
        <v>211</v>
      </c>
    </row>
    <row r="18" spans="2:5">
      <c r="B18" s="297" t="s">
        <v>203</v>
      </c>
      <c r="C18" s="293">
        <v>0.2</v>
      </c>
      <c r="D18" s="19"/>
      <c r="E18" s="294" t="s">
        <v>204</v>
      </c>
    </row>
    <row r="19" spans="2:5" ht="24">
      <c r="B19" s="297" t="s">
        <v>289</v>
      </c>
      <c r="C19" s="295" cm="1">
        <f t="array" ref="C19">10^6*IF('Technical parameters PROD'!C9=0,(TREND(V49:V55,U49:U55,'Technical parameters PROD'!C6)),TREND(V49:V55,U49:U55,'Technical parameters PROD'!C6+'Technical parameters PROD'!C7)+IF('Technical parameters PROD'!C9&gt;1,INDEX('Economic parameters'!S79:U97,'Technical parameters PROD'!C9,3),0))</f>
        <v>33036505.902651243</v>
      </c>
      <c r="D19" s="19"/>
      <c r="E19" s="298" t="s">
        <v>288</v>
      </c>
    </row>
    <row r="20" spans="2:5" ht="15.6">
      <c r="B20" s="297" t="s">
        <v>212</v>
      </c>
      <c r="C20" s="341">
        <v>4000000</v>
      </c>
      <c r="D20" s="19" t="s">
        <v>213</v>
      </c>
      <c r="E20" s="294"/>
    </row>
    <row r="21" spans="2:5">
      <c r="B21" s="299" t="s">
        <v>124</v>
      </c>
      <c r="C21" s="295">
        <f>IF('Technical parameters TEMP'!C28&gt;373.15,'Technical parameters PROD'!C20*'Economic parameters'!C20,0)+1000000</f>
        <v>5525738.8947957568</v>
      </c>
      <c r="D21" s="19"/>
      <c r="E21" s="294" t="s">
        <v>165</v>
      </c>
    </row>
    <row r="22" spans="2:5">
      <c r="B22" s="299" t="s">
        <v>167</v>
      </c>
      <c r="C22" s="341">
        <v>1000000</v>
      </c>
      <c r="D22" s="19"/>
      <c r="E22" s="294" t="s">
        <v>166</v>
      </c>
    </row>
    <row r="23" spans="2:5">
      <c r="B23" s="215" t="s">
        <v>236</v>
      </c>
      <c r="C23" s="256"/>
      <c r="D23" s="30"/>
      <c r="E23" s="285"/>
    </row>
    <row r="24" spans="2:5">
      <c r="B24" s="300" t="s">
        <v>121</v>
      </c>
      <c r="C24" s="291">
        <v>0.33</v>
      </c>
      <c r="D24" s="30"/>
      <c r="E24" s="285"/>
    </row>
    <row r="25" spans="2:5">
      <c r="B25" s="300" t="s">
        <v>122</v>
      </c>
      <c r="C25" s="291">
        <v>0.33</v>
      </c>
      <c r="D25" s="30"/>
      <c r="E25" s="285"/>
    </row>
    <row r="26" spans="2:5">
      <c r="B26" s="300" t="s">
        <v>123</v>
      </c>
      <c r="C26" s="291">
        <v>0.33</v>
      </c>
      <c r="D26" s="30"/>
      <c r="E26" s="285"/>
    </row>
    <row r="27" spans="2:5">
      <c r="B27" s="212" t="s">
        <v>125</v>
      </c>
      <c r="C27" s="258"/>
      <c r="D27" s="19"/>
      <c r="E27" s="294"/>
    </row>
    <row r="28" spans="2:5">
      <c r="B28" s="297" t="s">
        <v>121</v>
      </c>
      <c r="C28" s="293">
        <v>0</v>
      </c>
      <c r="D28" s="19"/>
      <c r="E28" s="294"/>
    </row>
    <row r="29" spans="2:5">
      <c r="B29" s="297" t="s">
        <v>122</v>
      </c>
      <c r="C29" s="293">
        <v>0.2</v>
      </c>
      <c r="D29" s="19"/>
      <c r="E29" s="294"/>
    </row>
    <row r="30" spans="2:5">
      <c r="B30" s="297" t="s">
        <v>123</v>
      </c>
      <c r="C30" s="293">
        <v>0.8</v>
      </c>
      <c r="D30" s="19"/>
      <c r="E30" s="294"/>
    </row>
    <row r="31" spans="2:5">
      <c r="B31" s="251" t="s">
        <v>230</v>
      </c>
      <c r="C31" s="252"/>
      <c r="D31" s="235"/>
      <c r="E31" s="195"/>
    </row>
    <row r="32" spans="2:5">
      <c r="B32" s="301" t="s">
        <v>231</v>
      </c>
      <c r="C32" s="342">
        <v>0.25</v>
      </c>
      <c r="D32" s="19" t="s">
        <v>233</v>
      </c>
      <c r="E32" s="213"/>
    </row>
    <row r="33" spans="2:31">
      <c r="B33" s="301" t="s">
        <v>268</v>
      </c>
      <c r="C33" s="343">
        <v>28</v>
      </c>
      <c r="D33" s="19" t="s">
        <v>31</v>
      </c>
      <c r="E33" s="213"/>
    </row>
    <row r="34" spans="2:31">
      <c r="B34" s="302" t="s">
        <v>232</v>
      </c>
      <c r="C34" s="303">
        <f>100*(C33/0.27778)/1000</f>
        <v>10.079919360645114</v>
      </c>
      <c r="D34" s="19" t="s">
        <v>35</v>
      </c>
      <c r="E34" s="213"/>
    </row>
    <row r="35" spans="2:31">
      <c r="B35" s="301" t="s">
        <v>234</v>
      </c>
      <c r="C35" s="343">
        <v>60</v>
      </c>
      <c r="D35" s="19" t="s">
        <v>310</v>
      </c>
      <c r="E35" s="213" t="s">
        <v>235</v>
      </c>
    </row>
    <row r="36" spans="2:31" ht="21" customHeight="1">
      <c r="B36" s="251" t="s">
        <v>119</v>
      </c>
      <c r="C36" s="252"/>
      <c r="D36" s="235"/>
      <c r="E36" s="195"/>
    </row>
    <row r="37" spans="2:31" ht="21" customHeight="1">
      <c r="B37" s="215" t="s">
        <v>294</v>
      </c>
      <c r="C37" s="344">
        <v>0.5</v>
      </c>
      <c r="D37" s="30"/>
      <c r="E37" s="285" t="s">
        <v>148</v>
      </c>
    </row>
    <row r="38" spans="2:31" ht="21" customHeight="1">
      <c r="B38" s="212" t="s">
        <v>128</v>
      </c>
      <c r="C38" s="293">
        <v>0.2</v>
      </c>
      <c r="D38" s="213" t="s">
        <v>129</v>
      </c>
      <c r="E38" s="294"/>
    </row>
    <row r="39" spans="2:31" ht="21" customHeight="1">
      <c r="B39" s="215" t="s">
        <v>293</v>
      </c>
      <c r="C39" s="304">
        <v>0.03</v>
      </c>
      <c r="D39" s="30"/>
      <c r="E39" s="285"/>
    </row>
    <row r="40" spans="2:31">
      <c r="B40" s="305" t="s">
        <v>130</v>
      </c>
      <c r="C40" s="306">
        <v>5.4399999999999997E-2</v>
      </c>
      <c r="D40" s="307"/>
      <c r="E40" s="308"/>
      <c r="F40" s="309"/>
    </row>
    <row r="41" spans="2:31" ht="12.6" customHeight="1">
      <c r="B41" s="395" t="s">
        <v>132</v>
      </c>
      <c r="C41" s="395"/>
      <c r="D41" s="395"/>
      <c r="E41" s="395"/>
    </row>
    <row r="42" spans="2:31" ht="12" customHeight="1">
      <c r="B42" s="32" t="s">
        <v>131</v>
      </c>
      <c r="C42" s="17"/>
      <c r="D42" s="17"/>
      <c r="E42" s="17"/>
    </row>
    <row r="43" spans="2:31" ht="16.95" customHeight="1"/>
    <row r="44" spans="2:31" ht="16.95" customHeight="1">
      <c r="H44" s="20"/>
    </row>
    <row r="45" spans="2:31" ht="15" thickBot="1">
      <c r="B45" s="277"/>
    </row>
    <row r="46" spans="2:31">
      <c r="E46" s="310" t="s">
        <v>189</v>
      </c>
      <c r="F46" s="189"/>
      <c r="G46" s="189"/>
      <c r="H46" s="189"/>
      <c r="I46" s="189"/>
      <c r="J46" s="189"/>
      <c r="K46" s="189"/>
      <c r="L46" s="189"/>
      <c r="M46" s="189"/>
      <c r="N46" s="189"/>
      <c r="O46" s="189"/>
      <c r="P46" s="189"/>
      <c r="Q46" s="190"/>
      <c r="S46" s="188" t="s">
        <v>189</v>
      </c>
      <c r="T46" s="189"/>
      <c r="U46" s="189"/>
      <c r="V46" s="189"/>
      <c r="W46" s="189"/>
      <c r="X46" s="189"/>
      <c r="Y46" s="189"/>
      <c r="Z46" s="189"/>
      <c r="AA46" s="189"/>
      <c r="AB46" s="189"/>
      <c r="AC46" s="189"/>
      <c r="AD46" s="189"/>
      <c r="AE46" s="190"/>
    </row>
    <row r="47" spans="2:31">
      <c r="E47" s="311"/>
      <c r="F47" s="312" t="s">
        <v>7</v>
      </c>
      <c r="G47" s="312"/>
      <c r="H47" s="312"/>
      <c r="I47" s="312"/>
      <c r="J47" s="312"/>
      <c r="K47" s="312"/>
      <c r="L47" s="312"/>
      <c r="M47" s="312"/>
      <c r="N47" s="312"/>
      <c r="O47" s="312"/>
      <c r="P47" s="312"/>
      <c r="Q47" s="192"/>
      <c r="S47" s="311" t="s">
        <v>315</v>
      </c>
      <c r="U47" s="312"/>
      <c r="V47" s="312"/>
      <c r="W47" s="312"/>
      <c r="X47" s="312"/>
      <c r="Y47" s="312"/>
      <c r="Z47" s="312"/>
      <c r="AA47" s="312"/>
      <c r="AB47" s="312"/>
      <c r="AC47" s="312"/>
      <c r="AD47" s="312"/>
      <c r="AE47" s="192"/>
    </row>
    <row r="48" spans="2:31">
      <c r="E48" s="311"/>
      <c r="F48" s="312"/>
      <c r="G48" s="312" t="s">
        <v>8</v>
      </c>
      <c r="H48" s="312" t="s">
        <v>9</v>
      </c>
      <c r="I48" s="312"/>
      <c r="J48" s="312" t="s">
        <v>10</v>
      </c>
      <c r="K48" s="312"/>
      <c r="L48" s="312"/>
      <c r="M48" s="312"/>
      <c r="N48" s="312"/>
      <c r="O48" s="312">
        <v>2022</v>
      </c>
      <c r="P48" s="312"/>
      <c r="Q48" s="192"/>
      <c r="S48" s="311"/>
      <c r="T48" s="312"/>
      <c r="U48" s="312" t="s">
        <v>8</v>
      </c>
      <c r="V48" s="312" t="s">
        <v>9</v>
      </c>
      <c r="W48" s="312"/>
      <c r="X48" s="312"/>
      <c r="Y48" s="312"/>
      <c r="Z48" s="312"/>
      <c r="AA48" s="312"/>
      <c r="AB48" s="312"/>
      <c r="AC48" s="312"/>
      <c r="AD48" s="312"/>
      <c r="AE48" s="192"/>
    </row>
    <row r="49" spans="5:31">
      <c r="E49" s="311" t="s">
        <v>206</v>
      </c>
      <c r="F49" s="312" t="s">
        <v>11</v>
      </c>
      <c r="G49" s="312">
        <v>1500</v>
      </c>
      <c r="H49" s="313">
        <f>O51/2</f>
        <v>7.5127395626424134</v>
      </c>
      <c r="I49" s="312" t="s">
        <v>12</v>
      </c>
      <c r="J49" s="314" t="s">
        <v>13</v>
      </c>
      <c r="K49" s="314">
        <v>0.5</v>
      </c>
      <c r="L49" s="314" t="s">
        <v>12</v>
      </c>
      <c r="M49" s="314" t="s">
        <v>14</v>
      </c>
      <c r="N49" s="314">
        <v>1988</v>
      </c>
      <c r="O49" s="315">
        <f>K49*1.03^($O$48-N49)</f>
        <v>1.365952647753166</v>
      </c>
      <c r="P49" s="314" t="s">
        <v>15</v>
      </c>
      <c r="Q49" s="192"/>
      <c r="S49" s="311"/>
      <c r="T49" s="312"/>
      <c r="U49" s="312">
        <v>1000</v>
      </c>
      <c r="V49" s="316">
        <v>1</v>
      </c>
      <c r="W49" s="317" t="s">
        <v>12</v>
      </c>
      <c r="X49" s="317"/>
      <c r="Y49" s="317"/>
      <c r="Z49" s="317"/>
      <c r="AA49" s="317"/>
      <c r="AB49" s="317"/>
      <c r="AC49" s="318"/>
      <c r="AD49" s="317"/>
      <c r="AE49" s="192"/>
    </row>
    <row r="50" spans="5:31">
      <c r="E50" s="311" t="s">
        <v>205</v>
      </c>
      <c r="F50" s="312" t="s">
        <v>0</v>
      </c>
      <c r="G50" s="312">
        <v>3600</v>
      </c>
      <c r="H50" s="312">
        <v>17</v>
      </c>
      <c r="I50" s="312" t="s">
        <v>12</v>
      </c>
      <c r="J50" s="314" t="s">
        <v>16</v>
      </c>
      <c r="K50" s="314">
        <v>3</v>
      </c>
      <c r="L50" s="314" t="s">
        <v>12</v>
      </c>
      <c r="M50" s="314" t="s">
        <v>14</v>
      </c>
      <c r="N50" s="314">
        <v>1988</v>
      </c>
      <c r="O50" s="315">
        <f t="shared" ref="O50:O51" si="0">K50*1.03^($O$48-N50)</f>
        <v>8.1957158865189967</v>
      </c>
      <c r="P50" s="314" t="s">
        <v>15</v>
      </c>
      <c r="Q50" s="192"/>
      <c r="S50" s="311"/>
      <c r="T50" s="312"/>
      <c r="U50" s="312">
        <v>2000</v>
      </c>
      <c r="V50" s="317">
        <v>2.25</v>
      </c>
      <c r="W50" s="317" t="s">
        <v>12</v>
      </c>
      <c r="X50" s="317"/>
      <c r="Y50" s="317"/>
      <c r="Z50" s="317"/>
      <c r="AA50" s="317"/>
      <c r="AB50" s="317"/>
      <c r="AC50" s="318"/>
      <c r="AD50" s="317"/>
      <c r="AE50" s="192"/>
    </row>
    <row r="51" spans="5:31">
      <c r="E51" s="311" t="s">
        <v>17</v>
      </c>
      <c r="F51" s="312" t="s">
        <v>18</v>
      </c>
      <c r="G51" s="312">
        <v>5000</v>
      </c>
      <c r="H51" s="312">
        <v>35</v>
      </c>
      <c r="I51" s="312" t="s">
        <v>12</v>
      </c>
      <c r="J51" s="314" t="s">
        <v>19</v>
      </c>
      <c r="K51" s="314">
        <v>5.5</v>
      </c>
      <c r="L51" s="314" t="s">
        <v>12</v>
      </c>
      <c r="M51" s="314" t="s">
        <v>14</v>
      </c>
      <c r="N51" s="314">
        <v>1988</v>
      </c>
      <c r="O51" s="315">
        <f t="shared" si="0"/>
        <v>15.025479125284827</v>
      </c>
      <c r="P51" s="314" t="s">
        <v>15</v>
      </c>
      <c r="Q51" s="192"/>
      <c r="S51" s="311"/>
      <c r="T51" s="312"/>
      <c r="U51" s="312">
        <v>3000</v>
      </c>
      <c r="V51" s="317">
        <v>2.6</v>
      </c>
      <c r="W51" s="317" t="s">
        <v>12</v>
      </c>
      <c r="X51" s="317"/>
      <c r="Y51" s="317"/>
      <c r="Z51" s="317"/>
      <c r="AA51" s="317"/>
      <c r="AB51" s="317"/>
      <c r="AC51" s="318"/>
      <c r="AD51" s="317"/>
      <c r="AE51" s="192"/>
    </row>
    <row r="52" spans="5:31">
      <c r="E52" s="311" t="s">
        <v>20</v>
      </c>
      <c r="F52" s="312" t="s">
        <v>21</v>
      </c>
      <c r="G52" s="312">
        <v>2000</v>
      </c>
      <c r="H52" s="312">
        <f>(8*1.6)/2</f>
        <v>6.4</v>
      </c>
      <c r="I52" s="312" t="s">
        <v>12</v>
      </c>
      <c r="J52" s="314"/>
      <c r="K52" s="314"/>
      <c r="L52" s="314"/>
      <c r="M52" s="314"/>
      <c r="N52" s="314"/>
      <c r="O52" s="315"/>
      <c r="P52" s="314"/>
      <c r="Q52" s="192"/>
      <c r="S52" s="311"/>
      <c r="T52" s="312"/>
      <c r="U52" s="312">
        <v>4000</v>
      </c>
      <c r="V52" s="317">
        <v>3.2</v>
      </c>
      <c r="W52" s="317" t="s">
        <v>12</v>
      </c>
      <c r="X52" s="317"/>
      <c r="Y52" s="317"/>
      <c r="Z52" s="317"/>
      <c r="AA52" s="317"/>
      <c r="AB52" s="317"/>
      <c r="AC52" s="318"/>
      <c r="AD52" s="317"/>
      <c r="AE52" s="192"/>
    </row>
    <row r="53" spans="5:31">
      <c r="E53" s="311" t="s">
        <v>22</v>
      </c>
      <c r="F53" s="312" t="s">
        <v>23</v>
      </c>
      <c r="G53" s="312">
        <v>4000</v>
      </c>
      <c r="H53" s="312">
        <v>22</v>
      </c>
      <c r="I53" s="312" t="s">
        <v>12</v>
      </c>
      <c r="J53" s="312" t="s">
        <v>254</v>
      </c>
      <c r="K53" s="312"/>
      <c r="L53" s="312"/>
      <c r="M53" s="312"/>
      <c r="N53" s="312"/>
      <c r="O53" s="312"/>
      <c r="P53" s="312"/>
      <c r="Q53" s="192"/>
      <c r="S53" s="311"/>
      <c r="T53" s="312"/>
      <c r="U53" s="312">
        <v>5000</v>
      </c>
      <c r="V53" s="317">
        <v>4</v>
      </c>
      <c r="W53" s="317" t="s">
        <v>12</v>
      </c>
      <c r="X53" s="317"/>
      <c r="Y53" s="317"/>
      <c r="Z53" s="317"/>
      <c r="AA53" s="317"/>
      <c r="AB53" s="317"/>
      <c r="AC53" s="317"/>
      <c r="AD53" s="317"/>
      <c r="AE53" s="192"/>
    </row>
    <row r="54" spans="5:31">
      <c r="E54" s="311" t="s">
        <v>229</v>
      </c>
      <c r="F54" s="312"/>
      <c r="G54" s="312">
        <v>7500</v>
      </c>
      <c r="H54" s="312">
        <v>67</v>
      </c>
      <c r="I54" s="312" t="s">
        <v>12</v>
      </c>
      <c r="J54" s="312" t="s">
        <v>24</v>
      </c>
      <c r="K54" s="312"/>
      <c r="L54" s="312"/>
      <c r="M54" s="312"/>
      <c r="N54" s="312"/>
      <c r="O54" s="312"/>
      <c r="P54" s="312"/>
      <c r="Q54" s="192"/>
      <c r="S54" s="311"/>
      <c r="T54" s="312"/>
      <c r="U54" s="312">
        <v>6000</v>
      </c>
      <c r="V54" s="317">
        <v>5</v>
      </c>
      <c r="W54" s="317" t="s">
        <v>12</v>
      </c>
      <c r="X54" s="317"/>
      <c r="Y54" s="317"/>
      <c r="Z54" s="317"/>
      <c r="AA54" s="317"/>
      <c r="AB54" s="317"/>
      <c r="AC54" s="317"/>
      <c r="AD54" s="317"/>
      <c r="AE54" s="192"/>
    </row>
    <row r="55" spans="5:31">
      <c r="E55" s="311" t="s">
        <v>25</v>
      </c>
      <c r="F55" s="312"/>
      <c r="G55" s="312">
        <v>4450</v>
      </c>
      <c r="H55" s="312">
        <v>38</v>
      </c>
      <c r="I55" s="312" t="s">
        <v>12</v>
      </c>
      <c r="J55" s="312" t="s">
        <v>255</v>
      </c>
      <c r="K55" s="312"/>
      <c r="L55" s="312"/>
      <c r="M55" s="312"/>
      <c r="N55" s="312"/>
      <c r="O55" s="312"/>
      <c r="P55" s="312"/>
      <c r="Q55" s="192"/>
      <c r="S55" s="311"/>
      <c r="T55" s="312"/>
      <c r="U55" s="312">
        <v>7000</v>
      </c>
      <c r="V55" s="317">
        <v>5.5</v>
      </c>
      <c r="W55" s="317" t="s">
        <v>12</v>
      </c>
      <c r="X55" s="317"/>
      <c r="Y55" s="317"/>
      <c r="Z55" s="317"/>
      <c r="AA55" s="317"/>
      <c r="AB55" s="317"/>
      <c r="AC55" s="317"/>
      <c r="AD55" s="317"/>
      <c r="AE55" s="192"/>
    </row>
    <row r="56" spans="5:31">
      <c r="E56" s="311" t="s">
        <v>26</v>
      </c>
      <c r="F56" s="312"/>
      <c r="G56" s="312">
        <v>4500</v>
      </c>
      <c r="H56" s="312">
        <v>46</v>
      </c>
      <c r="I56" s="312" t="s">
        <v>12</v>
      </c>
      <c r="J56" s="312" t="s">
        <v>255</v>
      </c>
      <c r="K56" s="312"/>
      <c r="L56" s="312"/>
      <c r="M56" s="312"/>
      <c r="N56" s="312"/>
      <c r="O56" s="312"/>
      <c r="P56" s="312"/>
      <c r="Q56" s="192"/>
      <c r="S56" s="311"/>
      <c r="T56" s="312"/>
      <c r="U56" s="312"/>
      <c r="V56" s="312"/>
      <c r="W56" s="312"/>
      <c r="X56" s="312"/>
      <c r="Y56" s="312"/>
      <c r="Z56" s="312"/>
      <c r="AA56" s="312"/>
      <c r="AB56" s="312"/>
      <c r="AC56" s="312"/>
      <c r="AD56" s="312"/>
      <c r="AE56" s="192"/>
    </row>
    <row r="57" spans="5:31">
      <c r="E57" s="311" t="s">
        <v>27</v>
      </c>
      <c r="F57" s="312"/>
      <c r="G57" s="312">
        <v>3000</v>
      </c>
      <c r="H57" s="319">
        <f>17/0.6</f>
        <v>28.333333333333336</v>
      </c>
      <c r="I57" s="312" t="s">
        <v>12</v>
      </c>
      <c r="J57" s="312" t="s">
        <v>255</v>
      </c>
      <c r="K57" s="312"/>
      <c r="L57" s="312"/>
      <c r="M57" s="312"/>
      <c r="N57" s="312"/>
      <c r="O57" s="312"/>
      <c r="P57" s="312"/>
      <c r="Q57" s="192"/>
      <c r="S57" s="311"/>
      <c r="T57" s="312"/>
      <c r="U57" s="312"/>
      <c r="V57" s="319"/>
      <c r="W57" s="312"/>
      <c r="X57" s="312"/>
      <c r="Y57" s="312"/>
      <c r="Z57" s="312"/>
      <c r="AA57" s="312"/>
      <c r="AB57" s="312"/>
      <c r="AC57" s="312"/>
      <c r="AD57" s="312"/>
      <c r="AE57" s="192"/>
    </row>
    <row r="58" spans="5:31">
      <c r="E58" s="311" t="s">
        <v>28</v>
      </c>
      <c r="F58" s="312"/>
      <c r="G58" s="312">
        <v>2300</v>
      </c>
      <c r="H58" s="319">
        <f>14.4/0.6</f>
        <v>24</v>
      </c>
      <c r="I58" s="312" t="s">
        <v>12</v>
      </c>
      <c r="J58" s="312" t="s">
        <v>255</v>
      </c>
      <c r="K58" s="312"/>
      <c r="L58" s="312"/>
      <c r="M58" s="312"/>
      <c r="N58" s="312"/>
      <c r="O58" s="312"/>
      <c r="P58" s="312"/>
      <c r="Q58" s="192"/>
      <c r="S58" s="311"/>
      <c r="T58" s="312"/>
      <c r="U58" s="312"/>
      <c r="V58" s="319"/>
      <c r="W58" s="312"/>
      <c r="X58" s="312"/>
      <c r="Y58" s="312"/>
      <c r="Z58" s="312"/>
      <c r="AA58" s="312"/>
      <c r="AB58" s="312"/>
      <c r="AC58" s="312"/>
      <c r="AD58" s="312"/>
      <c r="AE58" s="192"/>
    </row>
    <row r="59" spans="5:31">
      <c r="E59" s="311"/>
      <c r="F59" s="312"/>
      <c r="G59" s="312"/>
      <c r="H59" s="312"/>
      <c r="I59" s="312"/>
      <c r="J59" s="312"/>
      <c r="K59" s="312"/>
      <c r="L59" s="312"/>
      <c r="M59" s="312"/>
      <c r="N59" s="312"/>
      <c r="O59" s="312"/>
      <c r="P59" s="312"/>
      <c r="Q59" s="192"/>
      <c r="S59" s="311"/>
      <c r="T59" s="312"/>
      <c r="U59" s="312"/>
      <c r="V59" s="312"/>
      <c r="W59" s="312"/>
      <c r="X59" s="312"/>
      <c r="Y59" s="312"/>
      <c r="Z59" s="312"/>
      <c r="AA59" s="312"/>
      <c r="AB59" s="312"/>
      <c r="AC59" s="312"/>
      <c r="AD59" s="312"/>
      <c r="AE59" s="192"/>
    </row>
    <row r="60" spans="5:31">
      <c r="E60" s="196"/>
      <c r="Q60" s="192"/>
      <c r="S60" s="196"/>
      <c r="AE60" s="192"/>
    </row>
    <row r="61" spans="5:31">
      <c r="E61" s="311" t="s">
        <v>190</v>
      </c>
      <c r="F61" s="312"/>
      <c r="G61" s="312"/>
      <c r="H61" s="312"/>
      <c r="I61" s="312"/>
      <c r="J61" s="312"/>
      <c r="Q61" s="192"/>
      <c r="S61" s="311" t="s">
        <v>190</v>
      </c>
      <c r="T61" s="312"/>
      <c r="U61" s="312"/>
      <c r="V61" s="312"/>
      <c r="W61" s="312"/>
      <c r="X61" s="312"/>
      <c r="AE61" s="192"/>
    </row>
    <row r="62" spans="5:31">
      <c r="E62" s="311"/>
      <c r="F62" s="312"/>
      <c r="G62" s="312"/>
      <c r="H62" s="312"/>
      <c r="I62" s="312"/>
      <c r="J62" s="312"/>
      <c r="Q62" s="192"/>
      <c r="S62" s="311"/>
      <c r="T62" s="312"/>
      <c r="U62" s="312"/>
      <c r="V62" s="312"/>
      <c r="W62" s="312"/>
      <c r="X62" s="312"/>
      <c r="AE62" s="192"/>
    </row>
    <row r="63" spans="5:31">
      <c r="E63" s="311" t="s">
        <v>257</v>
      </c>
      <c r="F63" s="312"/>
      <c r="G63" s="320">
        <f>'Technical parameters TEMP'!C9</f>
        <v>6000</v>
      </c>
      <c r="H63" s="321" cm="1">
        <f t="array" ref="H63">TREND(H49:H58,G49:G58,G63+G64)</f>
        <v>117.69444948174501</v>
      </c>
      <c r="I63" s="312"/>
      <c r="J63" s="312"/>
      <c r="Q63" s="192"/>
      <c r="S63" s="311" t="s">
        <v>257</v>
      </c>
      <c r="T63" s="312"/>
      <c r="U63" s="320">
        <f>G63</f>
        <v>6000</v>
      </c>
      <c r="V63" s="321" cm="1">
        <f t="array" ref="V63">TREND(V49:V55,U49:U55,U63+U64)</f>
        <v>9.9214285714285708</v>
      </c>
      <c r="W63" s="312"/>
      <c r="X63" s="312"/>
      <c r="AE63" s="192"/>
    </row>
    <row r="64" spans="5:31">
      <c r="E64" s="311" t="s">
        <v>258</v>
      </c>
      <c r="F64" s="312"/>
      <c r="G64" s="320">
        <f>'Technical parameters TEMP'!C30</f>
        <v>7000</v>
      </c>
      <c r="H64" s="321" cm="1">
        <f t="array" ref="H64">H63-TREND(H49:H58,G49:G58,G63)</f>
        <v>67.280401014110922</v>
      </c>
      <c r="I64" s="312"/>
      <c r="J64" s="312"/>
      <c r="Q64" s="192"/>
      <c r="S64" s="311" t="s">
        <v>258</v>
      </c>
      <c r="T64" s="312"/>
      <c r="U64" s="320">
        <f>G64</f>
        <v>7000</v>
      </c>
      <c r="V64" s="321" cm="1">
        <f t="array" ref="V64">V63-TREND(V49:V55,U49:U55,U63)</f>
        <v>5.0999999999999988</v>
      </c>
      <c r="W64" s="312"/>
      <c r="X64" s="312"/>
      <c r="AE64" s="192"/>
    </row>
    <row r="65" spans="5:31">
      <c r="E65" s="311"/>
      <c r="F65" s="312"/>
      <c r="G65" s="312"/>
      <c r="H65" s="321"/>
      <c r="I65" s="312"/>
      <c r="J65" s="312"/>
      <c r="Q65" s="192"/>
      <c r="S65" s="311"/>
      <c r="T65" s="312"/>
      <c r="U65" s="312"/>
      <c r="V65" s="321"/>
      <c r="W65" s="312"/>
      <c r="X65" s="312"/>
      <c r="AE65" s="192"/>
    </row>
    <row r="66" spans="5:31">
      <c r="E66" s="311"/>
      <c r="F66" s="312"/>
      <c r="G66" s="312"/>
      <c r="H66" s="312"/>
      <c r="I66" s="312"/>
      <c r="J66" s="312"/>
      <c r="Q66" s="192"/>
      <c r="S66" s="311"/>
      <c r="T66" s="312"/>
      <c r="U66" s="312"/>
      <c r="V66" s="312"/>
      <c r="W66" s="312"/>
      <c r="X66" s="312"/>
      <c r="AE66" s="192"/>
    </row>
    <row r="67" spans="5:31">
      <c r="E67" s="311"/>
      <c r="F67" s="312"/>
      <c r="G67" s="312"/>
      <c r="H67" s="312"/>
      <c r="I67" s="312"/>
      <c r="J67" s="312"/>
      <c r="Q67" s="192"/>
      <c r="S67" s="311"/>
      <c r="T67" s="312"/>
      <c r="U67" s="312"/>
      <c r="V67" s="312"/>
      <c r="W67" s="312"/>
      <c r="X67" s="312"/>
      <c r="AE67" s="192"/>
    </row>
    <row r="68" spans="5:31">
      <c r="E68" s="311"/>
      <c r="F68" s="312"/>
      <c r="G68" s="312"/>
      <c r="H68" s="312"/>
      <c r="I68" s="312"/>
      <c r="J68" s="312"/>
      <c r="Q68" s="192"/>
      <c r="S68" s="311"/>
      <c r="T68" s="312"/>
      <c r="U68" s="312"/>
      <c r="V68" s="312"/>
      <c r="W68" s="312"/>
      <c r="X68" s="312"/>
      <c r="AE68" s="192"/>
    </row>
    <row r="69" spans="5:31">
      <c r="E69" s="311"/>
      <c r="F69" s="312"/>
      <c r="G69" s="312"/>
      <c r="H69" s="312"/>
      <c r="I69" s="312"/>
      <c r="J69" s="312"/>
      <c r="Q69" s="192"/>
      <c r="S69" s="311"/>
      <c r="T69" s="312"/>
      <c r="U69" s="312"/>
      <c r="V69" s="312"/>
      <c r="W69" s="312"/>
      <c r="X69" s="312"/>
      <c r="AE69" s="192"/>
    </row>
    <row r="70" spans="5:31">
      <c r="E70" s="322" t="s">
        <v>191</v>
      </c>
      <c r="F70" s="323" t="s">
        <v>192</v>
      </c>
      <c r="G70" s="324"/>
      <c r="H70" s="324"/>
      <c r="I70" s="312"/>
      <c r="J70" s="312"/>
      <c r="Q70" s="192"/>
      <c r="S70" s="322" t="s">
        <v>191</v>
      </c>
      <c r="T70" s="323" t="s">
        <v>192</v>
      </c>
      <c r="U70" s="324"/>
      <c r="V70" s="324"/>
      <c r="W70" s="312"/>
      <c r="X70" s="312"/>
      <c r="AE70" s="192"/>
    </row>
    <row r="71" spans="5:31">
      <c r="E71" s="322" t="s">
        <v>193</v>
      </c>
      <c r="F71" s="325" t="s">
        <v>194</v>
      </c>
      <c r="G71" s="326"/>
      <c r="H71" s="326"/>
      <c r="I71" s="312"/>
      <c r="J71" s="312"/>
      <c r="Q71" s="192"/>
      <c r="S71" s="322" t="s">
        <v>193</v>
      </c>
      <c r="T71" s="325" t="s">
        <v>194</v>
      </c>
      <c r="U71" s="326"/>
      <c r="V71" s="326"/>
      <c r="W71" s="312"/>
      <c r="X71" s="312"/>
      <c r="AE71" s="192"/>
    </row>
    <row r="72" spans="5:31">
      <c r="E72" s="322" t="s">
        <v>195</v>
      </c>
      <c r="F72" s="327" t="s">
        <v>196</v>
      </c>
      <c r="G72"/>
      <c r="H72" s="328"/>
      <c r="I72" s="312"/>
      <c r="J72" s="312"/>
      <c r="Q72" s="192"/>
      <c r="S72" s="322" t="s">
        <v>195</v>
      </c>
      <c r="T72" s="327" t="s">
        <v>196</v>
      </c>
      <c r="U72"/>
      <c r="V72" s="328"/>
      <c r="W72" s="312"/>
      <c r="X72" s="312"/>
      <c r="AE72" s="192"/>
    </row>
    <row r="73" spans="5:31">
      <c r="E73" s="322" t="s">
        <v>197</v>
      </c>
      <c r="F73" s="327" t="s">
        <v>198</v>
      </c>
      <c r="G73"/>
      <c r="H73" s="329"/>
      <c r="I73" s="312"/>
      <c r="J73" s="312"/>
      <c r="Q73" s="192"/>
      <c r="S73" s="322" t="s">
        <v>197</v>
      </c>
      <c r="T73" s="327" t="s">
        <v>198</v>
      </c>
      <c r="U73"/>
      <c r="V73" s="329"/>
      <c r="W73" s="312"/>
      <c r="X73" s="312"/>
      <c r="AE73" s="192"/>
    </row>
    <row r="74" spans="5:31">
      <c r="E74" s="322" t="s">
        <v>199</v>
      </c>
      <c r="F74" s="330" t="s">
        <v>1</v>
      </c>
      <c r="G74"/>
      <c r="H74" s="329"/>
      <c r="I74" s="312"/>
      <c r="J74" s="312"/>
      <c r="Q74" s="192"/>
      <c r="S74" s="322" t="s">
        <v>199</v>
      </c>
      <c r="T74" s="330" t="s">
        <v>1</v>
      </c>
      <c r="U74"/>
      <c r="V74" s="329"/>
      <c r="W74" s="312"/>
      <c r="X74" s="312"/>
      <c r="AE74" s="192"/>
    </row>
    <row r="75" spans="5:31">
      <c r="E75" s="311"/>
      <c r="F75" s="312"/>
      <c r="G75" s="312" t="s">
        <v>200</v>
      </c>
      <c r="H75" s="312"/>
      <c r="I75" s="312"/>
      <c r="J75" s="312"/>
      <c r="Q75" s="192"/>
      <c r="S75" s="311"/>
      <c r="T75" s="312"/>
      <c r="U75" s="312" t="s">
        <v>200</v>
      </c>
      <c r="V75" s="312"/>
      <c r="W75" s="312"/>
      <c r="X75" s="312"/>
      <c r="AE75" s="192"/>
    </row>
    <row r="76" spans="5:31">
      <c r="E76" s="311" t="s">
        <v>256</v>
      </c>
      <c r="F76" s="331">
        <f>C18</f>
        <v>0.2</v>
      </c>
      <c r="G76" s="312" t="s">
        <v>201</v>
      </c>
      <c r="H76" s="312"/>
      <c r="I76" s="312"/>
      <c r="J76" s="312"/>
      <c r="Q76" s="192"/>
      <c r="S76" s="311" t="s">
        <v>256</v>
      </c>
      <c r="T76" s="332">
        <f>F76</f>
        <v>0.2</v>
      </c>
      <c r="U76" s="312" t="s">
        <v>201</v>
      </c>
      <c r="V76" s="312"/>
      <c r="W76" s="312"/>
      <c r="X76" s="312"/>
      <c r="AE76" s="192"/>
    </row>
    <row r="77" spans="5:31">
      <c r="E77" s="311"/>
      <c r="F77" s="312"/>
      <c r="G77" s="312"/>
      <c r="H77" s="312"/>
      <c r="I77" s="312"/>
      <c r="J77" s="312"/>
      <c r="Q77" s="192"/>
      <c r="S77" s="311"/>
      <c r="T77" s="312"/>
      <c r="U77" s="312"/>
      <c r="V77" s="312"/>
      <c r="W77" s="312"/>
      <c r="X77" s="312"/>
      <c r="AE77" s="192"/>
    </row>
    <row r="78" spans="5:31" ht="60.6">
      <c r="E78" s="333" t="s">
        <v>202</v>
      </c>
      <c r="F78" s="334" t="s">
        <v>263</v>
      </c>
      <c r="G78" s="334" t="s">
        <v>264</v>
      </c>
      <c r="H78" s="312"/>
      <c r="I78" s="312"/>
      <c r="J78" s="312"/>
      <c r="Q78" s="192"/>
      <c r="S78" s="333" t="s">
        <v>202</v>
      </c>
      <c r="T78" s="334" t="s">
        <v>263</v>
      </c>
      <c r="U78" s="334" t="s">
        <v>264</v>
      </c>
      <c r="V78" s="312"/>
      <c r="W78" s="312"/>
      <c r="X78" s="312"/>
      <c r="AE78" s="192"/>
    </row>
    <row r="79" spans="5:31">
      <c r="E79" s="333">
        <v>2</v>
      </c>
      <c r="F79" s="335">
        <f>$H$64*(E79)^(-$F$76)</f>
        <v>58.570991001623383</v>
      </c>
      <c r="G79" s="335">
        <f>F79</f>
        <v>58.570991001623383</v>
      </c>
      <c r="H79" s="312"/>
      <c r="I79" s="312"/>
      <c r="J79" s="312"/>
      <c r="Q79" s="192"/>
      <c r="S79" s="333">
        <v>2</v>
      </c>
      <c r="T79" s="336">
        <f>$V$64*(S79)^(-$F$76)</f>
        <v>4.4398078728102321</v>
      </c>
      <c r="U79" s="335">
        <f>T79</f>
        <v>4.4398078728102321</v>
      </c>
      <c r="V79" s="312"/>
      <c r="W79" s="312"/>
      <c r="X79" s="312"/>
      <c r="AE79" s="192"/>
    </row>
    <row r="80" spans="5:31">
      <c r="E80" s="333">
        <f>E79+1</f>
        <v>3</v>
      </c>
      <c r="F80" s="335">
        <f t="shared" ref="F80:F97" si="1">$H$64*(E80)^(-$F$76)</f>
        <v>54.008774185922</v>
      </c>
      <c r="G80" s="335">
        <f>G79+F80</f>
        <v>112.57976518754538</v>
      </c>
      <c r="H80" s="312"/>
      <c r="I80" s="312"/>
      <c r="J80" s="312"/>
      <c r="Q80" s="192"/>
      <c r="S80" s="333">
        <f>S79+1</f>
        <v>3</v>
      </c>
      <c r="T80" s="336">
        <f>$V$64*(S80)^(-$F$76)</f>
        <v>4.0939819649771749</v>
      </c>
      <c r="U80" s="335">
        <f>U79+T80</f>
        <v>8.5337898377874062</v>
      </c>
      <c r="V80" s="312"/>
      <c r="W80" s="312"/>
      <c r="X80" s="312"/>
      <c r="AE80" s="192"/>
    </row>
    <row r="81" spans="5:31">
      <c r="E81" s="333">
        <f t="shared" ref="E81:E97" si="2">E80+1</f>
        <v>4</v>
      </c>
      <c r="F81" s="335">
        <f t="shared" si="1"/>
        <v>50.989009209275459</v>
      </c>
      <c r="G81" s="335">
        <f t="shared" ref="G81:G92" si="3">G80+F81</f>
        <v>163.56877439682083</v>
      </c>
      <c r="H81" s="312"/>
      <c r="I81" s="312"/>
      <c r="J81" s="312"/>
      <c r="Q81" s="192"/>
      <c r="S81" s="333">
        <f t="shared" ref="S81:S97" si="4">S80+1</f>
        <v>4</v>
      </c>
      <c r="T81" s="336">
        <f t="shared" ref="T81:T97" si="5">$V$64*(S81)^(-$F$76)</f>
        <v>3.8650772446015145</v>
      </c>
      <c r="U81" s="335">
        <f t="shared" ref="U81:U92" si="6">U80+T81</f>
        <v>12.398867082388922</v>
      </c>
      <c r="V81" s="312"/>
      <c r="W81" s="312"/>
      <c r="X81" s="312"/>
      <c r="AE81" s="192"/>
    </row>
    <row r="82" spans="5:31">
      <c r="E82" s="333">
        <f t="shared" si="2"/>
        <v>5</v>
      </c>
      <c r="F82" s="335">
        <f t="shared" si="1"/>
        <v>48.7634664191078</v>
      </c>
      <c r="G82" s="335">
        <f t="shared" si="3"/>
        <v>212.33224081592863</v>
      </c>
      <c r="H82" s="312"/>
      <c r="I82" s="312"/>
      <c r="J82" s="312"/>
      <c r="Q82" s="192"/>
      <c r="S82" s="333">
        <f t="shared" si="4"/>
        <v>5</v>
      </c>
      <c r="T82" s="336">
        <f t="shared" si="5"/>
        <v>3.6963762847562465</v>
      </c>
      <c r="U82" s="335">
        <f t="shared" si="6"/>
        <v>16.095243367145169</v>
      </c>
      <c r="V82" s="312"/>
      <c r="W82" s="312"/>
      <c r="X82" s="312"/>
      <c r="AE82" s="192"/>
    </row>
    <row r="83" spans="5:31">
      <c r="E83" s="333">
        <f t="shared" si="2"/>
        <v>6</v>
      </c>
      <c r="F83" s="335">
        <f t="shared" si="1"/>
        <v>47.017368790487573</v>
      </c>
      <c r="G83" s="335">
        <f t="shared" si="3"/>
        <v>259.34960960641621</v>
      </c>
      <c r="H83" s="312"/>
      <c r="I83" s="312"/>
      <c r="J83" s="312"/>
      <c r="Q83" s="192"/>
      <c r="S83" s="333">
        <f t="shared" si="4"/>
        <v>6</v>
      </c>
      <c r="T83" s="336">
        <f t="shared" si="5"/>
        <v>3.5640183057350532</v>
      </c>
      <c r="U83" s="335">
        <f t="shared" si="6"/>
        <v>19.659261672880223</v>
      </c>
      <c r="V83" s="312"/>
      <c r="W83" s="312"/>
      <c r="X83" s="312"/>
      <c r="AE83" s="192"/>
    </row>
    <row r="84" spans="5:31">
      <c r="E84" s="333">
        <f t="shared" si="2"/>
        <v>7</v>
      </c>
      <c r="F84" s="335">
        <f t="shared" si="1"/>
        <v>45.58993398512235</v>
      </c>
      <c r="G84" s="335">
        <f t="shared" si="3"/>
        <v>304.93954359153855</v>
      </c>
      <c r="H84" s="312"/>
      <c r="I84" s="312"/>
      <c r="J84" s="312"/>
      <c r="Q84" s="192"/>
      <c r="S84" s="333">
        <f t="shared" si="4"/>
        <v>7</v>
      </c>
      <c r="T84" s="336">
        <f t="shared" si="5"/>
        <v>3.455815658342452</v>
      </c>
      <c r="U84" s="335">
        <f t="shared" si="6"/>
        <v>23.115077331222675</v>
      </c>
      <c r="V84" s="312"/>
      <c r="W84" s="312"/>
      <c r="X84" s="312"/>
      <c r="AE84" s="192"/>
    </row>
    <row r="85" spans="5:31">
      <c r="E85" s="333">
        <f t="shared" si="2"/>
        <v>8</v>
      </c>
      <c r="F85" s="335">
        <f t="shared" si="1"/>
        <v>44.388510689046015</v>
      </c>
      <c r="G85" s="335">
        <f t="shared" si="3"/>
        <v>349.32805428058458</v>
      </c>
      <c r="H85" s="312"/>
      <c r="I85" s="312"/>
      <c r="J85" s="312"/>
      <c r="Q85" s="192"/>
      <c r="S85" s="333">
        <f t="shared" si="4"/>
        <v>8</v>
      </c>
      <c r="T85" s="336">
        <f t="shared" si="5"/>
        <v>3.3647451724708799</v>
      </c>
      <c r="U85" s="335">
        <f t="shared" si="6"/>
        <v>26.479822503693555</v>
      </c>
      <c r="V85" s="312"/>
      <c r="W85" s="312"/>
      <c r="X85" s="312"/>
      <c r="AE85" s="192"/>
    </row>
    <row r="86" spans="5:31">
      <c r="E86" s="333">
        <f t="shared" si="2"/>
        <v>9</v>
      </c>
      <c r="F86" s="335">
        <f t="shared" si="1"/>
        <v>43.355087738762663</v>
      </c>
      <c r="G86" s="335">
        <f t="shared" si="3"/>
        <v>392.68314201934726</v>
      </c>
      <c r="H86" s="312"/>
      <c r="I86" s="312"/>
      <c r="J86" s="312"/>
      <c r="Q86" s="192"/>
      <c r="S86" s="333">
        <f t="shared" si="4"/>
        <v>9</v>
      </c>
      <c r="T86" s="336">
        <f t="shared" si="5"/>
        <v>3.2864094763839957</v>
      </c>
      <c r="U86" s="335">
        <f t="shared" si="6"/>
        <v>29.766231980077549</v>
      </c>
      <c r="V86" s="312"/>
      <c r="W86" s="312"/>
      <c r="X86" s="312"/>
      <c r="AE86" s="192"/>
    </row>
    <row r="87" spans="5:31">
      <c r="E87" s="333">
        <f t="shared" si="2"/>
        <v>10</v>
      </c>
      <c r="F87" s="335">
        <f t="shared" si="1"/>
        <v>42.451063159425928</v>
      </c>
      <c r="G87" s="335">
        <f t="shared" si="3"/>
        <v>435.13420517877319</v>
      </c>
      <c r="H87" s="312"/>
      <c r="I87" s="312"/>
      <c r="J87" s="312"/>
      <c r="Q87" s="192"/>
      <c r="S87" s="333">
        <f t="shared" si="4"/>
        <v>10</v>
      </c>
      <c r="T87" s="336">
        <f t="shared" si="5"/>
        <v>3.2178824568489848</v>
      </c>
      <c r="U87" s="335">
        <f t="shared" si="6"/>
        <v>32.984114436926532</v>
      </c>
      <c r="V87" s="312"/>
      <c r="W87" s="312"/>
      <c r="X87" s="312"/>
      <c r="AE87" s="192"/>
    </row>
    <row r="88" spans="5:31">
      <c r="E88" s="333">
        <f t="shared" si="2"/>
        <v>11</v>
      </c>
      <c r="F88" s="335">
        <f t="shared" si="1"/>
        <v>41.649523228956603</v>
      </c>
      <c r="G88" s="335">
        <f t="shared" si="3"/>
        <v>476.78372840772977</v>
      </c>
      <c r="H88" s="312"/>
      <c r="I88" s="312"/>
      <c r="J88" s="312"/>
      <c r="Q88" s="192"/>
      <c r="S88" s="333">
        <f t="shared" si="4"/>
        <v>11</v>
      </c>
      <c r="T88" s="336">
        <f t="shared" si="5"/>
        <v>3.1571239954876114</v>
      </c>
      <c r="U88" s="335">
        <f t="shared" si="6"/>
        <v>36.141238432414141</v>
      </c>
      <c r="V88" s="312"/>
      <c r="W88" s="312"/>
      <c r="X88" s="312"/>
      <c r="AE88" s="192"/>
    </row>
    <row r="89" spans="5:31">
      <c r="E89" s="333">
        <f t="shared" si="2"/>
        <v>12</v>
      </c>
      <c r="F89" s="335">
        <f t="shared" si="1"/>
        <v>40.930996885260562</v>
      </c>
      <c r="G89" s="335">
        <f t="shared" si="3"/>
        <v>517.71472529299035</v>
      </c>
      <c r="H89" s="312"/>
      <c r="I89" s="312"/>
      <c r="J89" s="312"/>
      <c r="Q89" s="192"/>
      <c r="S89" s="333">
        <f t="shared" si="4"/>
        <v>12</v>
      </c>
      <c r="T89" s="336">
        <f t="shared" si="5"/>
        <v>3.1026581436553484</v>
      </c>
      <c r="U89" s="335">
        <f t="shared" si="6"/>
        <v>39.243896576069488</v>
      </c>
      <c r="V89" s="312"/>
      <c r="W89" s="312"/>
      <c r="X89" s="312"/>
      <c r="AE89" s="192"/>
    </row>
    <row r="90" spans="5:31">
      <c r="E90" s="333">
        <f t="shared" si="2"/>
        <v>13</v>
      </c>
      <c r="F90" s="335">
        <f t="shared" si="1"/>
        <v>40.280968209125291</v>
      </c>
      <c r="G90" s="335">
        <f t="shared" si="3"/>
        <v>557.99569350211561</v>
      </c>
      <c r="H90" s="312"/>
      <c r="I90" s="312"/>
      <c r="J90" s="312"/>
      <c r="Q90" s="192"/>
      <c r="S90" s="333">
        <f t="shared" si="4"/>
        <v>13</v>
      </c>
      <c r="T90" s="336">
        <f t="shared" si="5"/>
        <v>3.0533845632616377</v>
      </c>
      <c r="U90" s="335">
        <f t="shared" si="6"/>
        <v>42.297281139331126</v>
      </c>
      <c r="V90" s="312"/>
      <c r="W90" s="312"/>
      <c r="X90" s="312"/>
      <c r="AE90" s="192"/>
    </row>
    <row r="91" spans="5:31">
      <c r="E91" s="333">
        <f t="shared" si="2"/>
        <v>14</v>
      </c>
      <c r="F91" s="335">
        <f t="shared" si="1"/>
        <v>39.688342711381374</v>
      </c>
      <c r="G91" s="335">
        <f t="shared" si="3"/>
        <v>597.68403621349694</v>
      </c>
      <c r="H91" s="312"/>
      <c r="I91" s="312"/>
      <c r="J91" s="312"/>
      <c r="Q91" s="192"/>
      <c r="S91" s="333">
        <f t="shared" si="4"/>
        <v>14</v>
      </c>
      <c r="T91" s="336">
        <f t="shared" si="5"/>
        <v>3.0084622680175879</v>
      </c>
      <c r="U91" s="335">
        <f t="shared" si="6"/>
        <v>45.305743407348714</v>
      </c>
      <c r="V91" s="312"/>
      <c r="W91" s="312"/>
      <c r="X91" s="312"/>
      <c r="AE91" s="192"/>
    </row>
    <row r="92" spans="5:31">
      <c r="E92" s="333">
        <f t="shared" si="2"/>
        <v>15</v>
      </c>
      <c r="F92" s="335">
        <f t="shared" si="1"/>
        <v>39.144461190117156</v>
      </c>
      <c r="G92" s="335">
        <f t="shared" si="3"/>
        <v>636.82849740361405</v>
      </c>
      <c r="H92" s="312"/>
      <c r="I92" s="312"/>
      <c r="J92" s="312"/>
      <c r="Q92" s="192"/>
      <c r="S92" s="333">
        <f t="shared" si="4"/>
        <v>15</v>
      </c>
      <c r="T92" s="336">
        <f t="shared" si="5"/>
        <v>2.9672348716787078</v>
      </c>
      <c r="U92" s="335">
        <f t="shared" si="6"/>
        <v>48.27297827902742</v>
      </c>
      <c r="V92" s="312"/>
      <c r="W92" s="312"/>
      <c r="X92" s="312"/>
      <c r="AE92" s="192"/>
    </row>
    <row r="93" spans="5:31">
      <c r="E93" s="333">
        <f t="shared" si="2"/>
        <v>16</v>
      </c>
      <c r="F93" s="335">
        <f t="shared" si="1"/>
        <v>38.642442984225035</v>
      </c>
      <c r="G93" s="335">
        <f>G92+F93</f>
        <v>675.47094038783905</v>
      </c>
      <c r="H93" s="312"/>
      <c r="I93" s="312"/>
      <c r="J93" s="312"/>
      <c r="Q93" s="192"/>
      <c r="S93" s="333">
        <f t="shared" si="4"/>
        <v>16</v>
      </c>
      <c r="T93" s="336">
        <f t="shared" si="5"/>
        <v>2.9291808052424386</v>
      </c>
      <c r="U93" s="335">
        <f>U92+T93</f>
        <v>51.202159084269859</v>
      </c>
      <c r="V93" s="312"/>
      <c r="W93" s="312"/>
      <c r="X93" s="312"/>
      <c r="AE93" s="192"/>
    </row>
    <row r="94" spans="5:31">
      <c r="E94" s="333">
        <f t="shared" si="2"/>
        <v>17</v>
      </c>
      <c r="F94" s="335">
        <f t="shared" si="1"/>
        <v>38.176735326332384</v>
      </c>
      <c r="G94" s="335">
        <f>G93+F94</f>
        <v>713.64767571417144</v>
      </c>
      <c r="H94" s="312"/>
      <c r="I94" s="312"/>
      <c r="J94" s="312"/>
      <c r="Q94" s="192"/>
      <c r="S94" s="333">
        <f t="shared" si="4"/>
        <v>17</v>
      </c>
      <c r="T94" s="336">
        <f t="shared" si="5"/>
        <v>2.8938791569250575</v>
      </c>
      <c r="U94" s="335">
        <f>U93+T94</f>
        <v>54.096038241194918</v>
      </c>
      <c r="V94" s="312"/>
      <c r="W94" s="312"/>
      <c r="X94" s="312"/>
      <c r="AE94" s="192"/>
    </row>
    <row r="95" spans="5:31">
      <c r="E95" s="333">
        <f t="shared" si="2"/>
        <v>18</v>
      </c>
      <c r="F95" s="335">
        <f t="shared" si="1"/>
        <v>37.742796052732729</v>
      </c>
      <c r="G95" s="335">
        <f>G94+F95</f>
        <v>751.39047176690417</v>
      </c>
      <c r="H95" s="312"/>
      <c r="I95" s="312"/>
      <c r="J95" s="312"/>
      <c r="Q95" s="192"/>
      <c r="S95" s="333">
        <f t="shared" si="4"/>
        <v>18</v>
      </c>
      <c r="T95" s="336">
        <f t="shared" si="5"/>
        <v>2.8609856208878082</v>
      </c>
      <c r="U95" s="335">
        <f>U94+T95</f>
        <v>56.957023862082728</v>
      </c>
      <c r="V95" s="312"/>
      <c r="W95" s="312"/>
      <c r="X95" s="312"/>
      <c r="AE95" s="192"/>
    </row>
    <row r="96" spans="5:31">
      <c r="E96" s="333">
        <f t="shared" si="2"/>
        <v>19</v>
      </c>
      <c r="F96" s="335">
        <f t="shared" si="1"/>
        <v>37.336865142727731</v>
      </c>
      <c r="G96" s="335">
        <f>G95+F96</f>
        <v>788.72733690963196</v>
      </c>
      <c r="H96" s="312"/>
      <c r="I96" s="312"/>
      <c r="J96" s="312"/>
      <c r="Q96" s="192"/>
      <c r="S96" s="333">
        <f t="shared" si="4"/>
        <v>19</v>
      </c>
      <c r="T96" s="336">
        <f t="shared" si="5"/>
        <v>2.8302151794246062</v>
      </c>
      <c r="U96" s="335">
        <f>U95+T96</f>
        <v>59.787239041507334</v>
      </c>
      <c r="V96" s="312"/>
      <c r="W96" s="312"/>
      <c r="X96" s="312"/>
      <c r="AE96" s="192"/>
    </row>
    <row r="97" spans="5:31" ht="15" thickBot="1">
      <c r="E97" s="337">
        <f t="shared" si="2"/>
        <v>20</v>
      </c>
      <c r="F97" s="338">
        <f t="shared" si="1"/>
        <v>36.955796945957587</v>
      </c>
      <c r="G97" s="338">
        <f>G96+F97</f>
        <v>825.68313385558952</v>
      </c>
      <c r="H97" s="339"/>
      <c r="I97" s="339"/>
      <c r="J97" s="339"/>
      <c r="K97" s="242"/>
      <c r="L97" s="242"/>
      <c r="M97" s="242"/>
      <c r="N97" s="242"/>
      <c r="O97" s="242"/>
      <c r="P97" s="242"/>
      <c r="Q97" s="243"/>
      <c r="S97" s="337">
        <f t="shared" si="4"/>
        <v>20</v>
      </c>
      <c r="T97" s="340">
        <f t="shared" si="5"/>
        <v>2.8013293854305998</v>
      </c>
      <c r="U97" s="338">
        <f>U96+T97</f>
        <v>62.588568426937933</v>
      </c>
      <c r="V97" s="339"/>
      <c r="W97" s="339"/>
      <c r="X97" s="339"/>
      <c r="Y97" s="242"/>
      <c r="Z97" s="242"/>
      <c r="AA97" s="242"/>
      <c r="AB97" s="242"/>
      <c r="AC97" s="242"/>
      <c r="AD97" s="242"/>
      <c r="AE97" s="243"/>
    </row>
    <row r="98" spans="5:31">
      <c r="E98" s="324"/>
      <c r="F98" s="335"/>
      <c r="G98" s="335"/>
      <c r="H98" s="312"/>
      <c r="I98" s="312"/>
      <c r="J98" s="312"/>
    </row>
    <row r="99" spans="5:31">
      <c r="E99" s="312"/>
      <c r="F99" s="312"/>
      <c r="G99" s="312"/>
      <c r="H99" s="312"/>
      <c r="I99" s="312"/>
      <c r="J99" s="312"/>
    </row>
    <row r="100" spans="5:31">
      <c r="E100" s="312"/>
      <c r="F100" s="312"/>
      <c r="G100" s="312"/>
      <c r="H100" s="312"/>
      <c r="I100" s="312"/>
      <c r="J100" s="312"/>
    </row>
  </sheetData>
  <sheetProtection algorithmName="SHA-512" hashValue="mhOO/8TWmlH/YxpOBIeyJJOQC0PMpC0t311zYmSOlRQBfMDg1kUv5U03VmO241Wn7K7w/Cow2sBVm0/coT8u2Q==" saltValue="unro+ZMBV17ikiK7dTjLFA==" spinCount="100000" sheet="1" objects="1" scenarios="1" selectLockedCells="1"/>
  <mergeCells count="1">
    <mergeCell ref="B41:E41"/>
  </mergeCells>
  <phoneticPr fontId="2" type="noConversion"/>
  <hyperlinks>
    <hyperlink ref="B42" r:id="rId1" xr:uid="{AFEB92EA-8137-4773-86FF-9CDAA35506F9}"/>
  </hyperlinks>
  <pageMargins left="0.7" right="0.7" top="0.78740157499999996" bottom="0.78740157499999996" header="0.3" footer="0.3"/>
  <pageSetup paperSize="9" orientation="portrait" r:id="rId2"/>
  <extLst>
    <ext xmlns:x14="http://schemas.microsoft.com/office/spreadsheetml/2009/9/main" uri="{78C0D931-6437-407d-A8EE-F0AAD7539E65}">
      <x14:conditionalFormattings>
        <x14:conditionalFormatting xmlns:xm="http://schemas.microsoft.com/office/excel/2006/main">
          <x14:cfRule type="expression" priority="3" id="{552100B0-D5E8-4914-82CA-36EDF1292AC8}">
            <xm:f>'Technical parameters PROD'!C13="Heat + electricity"</xm:f>
            <x14:dxf>
              <fill>
                <patternFill>
                  <bgColor rgb="FFFFFF00"/>
                </patternFill>
              </fill>
            </x14:dxf>
          </x14:cfRule>
          <x14:cfRule type="expression" priority="4" id="{56037D9C-1344-4E59-B1E9-F98D0AD7E2C3}">
            <xm:f>'Technical parameters PROD'!C13="Only electricity"</xm:f>
            <x14:dxf>
              <fill>
                <patternFill>
                  <bgColor rgb="FFFFFF00"/>
                </patternFill>
              </fill>
            </x14:dxf>
          </x14:cfRule>
          <xm:sqref>C6</xm:sqref>
        </x14:conditionalFormatting>
        <x14:conditionalFormatting xmlns:xm="http://schemas.microsoft.com/office/excel/2006/main">
          <x14:cfRule type="expression" priority="1" id="{0092950D-B55A-4C3A-AC34-8EC0F219E855}">
            <xm:f>'Technical parameters PROD'!C13="Only heat"</xm:f>
            <x14:dxf>
              <fill>
                <patternFill>
                  <bgColor rgb="FFFFFF00"/>
                </patternFill>
              </fill>
            </x14:dxf>
          </x14:cfRule>
          <x14:cfRule type="expression" priority="2" id="{DE3921BE-760A-419B-A083-88F665F91188}">
            <xm:f>'Technical parameters PROD'!C13="Heat + electricity"</xm:f>
            <x14:dxf>
              <fill>
                <patternFill>
                  <bgColor rgb="FFFFFF00"/>
                </patternFill>
              </fill>
            </x14:dxf>
          </x14:cfRule>
          <xm:sqref>C7</xm:sqref>
        </x14:conditionalFormatting>
      </x14:conditionalFormattings>
    </ext>
    <ext xmlns:x14="http://schemas.microsoft.com/office/spreadsheetml/2009/9/main" uri="{CCE6A557-97BC-4b89-ADB6-D9C93CAAB3DF}">
      <x14:dataValidations xmlns:xm="http://schemas.microsoft.com/office/excel/2006/main" count="2">
        <x14:dataValidation type="custom" allowBlank="1" showInputMessage="1" showErrorMessage="1" errorTitle="Not possible" error="Only possible if heat production is allowed (cell C6 Technical parameters PROD)" xr:uid="{2A4C891F-51B9-4720-893A-E473A9040961}">
          <x14:formula1>
            <xm:f>OR('Technical parameters PROD'!C13="Only heat",'Technical parameters PROD'!C13="Heat + electricity")</xm:f>
          </x14:formula1>
          <xm:sqref>C7</xm:sqref>
        </x14:dataValidation>
        <x14:dataValidation type="custom" allowBlank="1" showInputMessage="1" showErrorMessage="1" errorTitle="Not possible" error="Only possible if Power Production is selected (sheet Technical parameters PROD)" xr:uid="{49AFD86E-03ED-423F-A9C1-CE35375746DB}">
          <x14:formula1>
            <xm:f>OR('Technical parameters PROD'!C13="Only electricity",'Technical parameters PROD'!C13="Heat + electricity")</xm:f>
          </x14:formula1>
          <xm:sqref>C6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45281-21F6-4704-920B-CE8178158A28}">
  <dimension ref="C1:BE74"/>
  <sheetViews>
    <sheetView showGridLines="0" topLeftCell="A16" zoomScale="77" zoomScaleNormal="77" workbookViewId="0">
      <selection activeCell="E51" sqref="E51"/>
    </sheetView>
  </sheetViews>
  <sheetFormatPr baseColWidth="10" defaultColWidth="11.5546875" defaultRowHeight="14.4"/>
  <cols>
    <col min="1" max="1" width="11.5546875" style="2"/>
    <col min="2" max="2" width="15.33203125" style="2" customWidth="1"/>
    <col min="3" max="3" width="27.33203125" style="2" customWidth="1"/>
    <col min="4" max="4" width="38.33203125" style="2" customWidth="1"/>
    <col min="5" max="6" width="13" style="2" customWidth="1"/>
    <col min="7" max="7" width="15.33203125" style="2" customWidth="1"/>
    <col min="8" max="8" width="16" style="2" customWidth="1"/>
    <col min="9" max="9" width="16.33203125" style="2" customWidth="1"/>
    <col min="10" max="11" width="16" style="2" customWidth="1"/>
    <col min="12" max="32" width="13.44140625" style="2" customWidth="1"/>
    <col min="33" max="16384" width="11.5546875" style="2"/>
  </cols>
  <sheetData>
    <row r="1" spans="3:57" ht="18">
      <c r="C1" s="7" t="s">
        <v>133</v>
      </c>
    </row>
    <row r="2" spans="3:57">
      <c r="C2" s="21" t="s">
        <v>53</v>
      </c>
      <c r="D2" s="31"/>
      <c r="I2" s="23"/>
      <c r="J2" s="23"/>
      <c r="K2" s="23"/>
      <c r="L2" s="23"/>
      <c r="M2" s="23"/>
      <c r="N2" s="23"/>
    </row>
    <row r="4" spans="3:57">
      <c r="C4" s="33"/>
    </row>
    <row r="5" spans="3:57" ht="15.75" customHeight="1">
      <c r="C5" s="17"/>
      <c r="D5" s="34" t="s">
        <v>134</v>
      </c>
      <c r="E5" s="35">
        <v>0</v>
      </c>
      <c r="F5" s="35">
        <v>1</v>
      </c>
      <c r="G5" s="35">
        <v>2</v>
      </c>
      <c r="H5" s="35">
        <v>3</v>
      </c>
      <c r="I5" s="35">
        <v>4</v>
      </c>
      <c r="J5" s="35">
        <v>5</v>
      </c>
      <c r="K5" s="35">
        <v>6</v>
      </c>
      <c r="L5" s="35">
        <v>7</v>
      </c>
      <c r="M5" s="35">
        <v>8</v>
      </c>
      <c r="N5" s="35">
        <v>9</v>
      </c>
      <c r="O5" s="35">
        <v>10</v>
      </c>
      <c r="P5" s="35">
        <v>11</v>
      </c>
      <c r="Q5" s="35">
        <v>12</v>
      </c>
      <c r="R5" s="35">
        <v>13</v>
      </c>
      <c r="S5" s="35">
        <v>14</v>
      </c>
      <c r="T5" s="35">
        <v>15</v>
      </c>
      <c r="U5" s="35">
        <v>16</v>
      </c>
      <c r="V5" s="35">
        <v>17</v>
      </c>
      <c r="W5" s="35">
        <v>18</v>
      </c>
      <c r="X5" s="35">
        <v>19</v>
      </c>
      <c r="Y5" s="35">
        <v>20</v>
      </c>
      <c r="Z5" s="35">
        <v>21</v>
      </c>
      <c r="AA5" s="35">
        <v>22</v>
      </c>
      <c r="AB5" s="35">
        <v>23</v>
      </c>
      <c r="AC5" s="35">
        <v>24</v>
      </c>
      <c r="AD5" s="35">
        <v>25</v>
      </c>
      <c r="AE5" s="35">
        <v>26</v>
      </c>
      <c r="AF5" s="35">
        <v>27</v>
      </c>
      <c r="AG5" s="35">
        <v>28</v>
      </c>
      <c r="AH5" s="35">
        <v>29</v>
      </c>
      <c r="AI5" s="35">
        <v>30</v>
      </c>
      <c r="AJ5" s="35">
        <v>31</v>
      </c>
      <c r="AK5" s="35">
        <v>32</v>
      </c>
      <c r="AL5" s="35">
        <v>33</v>
      </c>
      <c r="AM5" s="35">
        <v>34</v>
      </c>
      <c r="AN5" s="35">
        <v>35</v>
      </c>
      <c r="AO5" s="35">
        <v>36</v>
      </c>
      <c r="AP5" s="35">
        <v>37</v>
      </c>
      <c r="AQ5" s="35">
        <v>38</v>
      </c>
      <c r="AR5" s="35">
        <v>39</v>
      </c>
      <c r="AS5" s="35">
        <v>40</v>
      </c>
      <c r="AT5" s="35">
        <v>41</v>
      </c>
      <c r="AU5" s="35">
        <v>42</v>
      </c>
      <c r="AV5" s="35">
        <v>43</v>
      </c>
      <c r="AW5" s="35">
        <v>44</v>
      </c>
      <c r="AX5" s="35">
        <v>45</v>
      </c>
      <c r="AY5" s="35">
        <v>46</v>
      </c>
      <c r="AZ5" s="35">
        <v>47</v>
      </c>
      <c r="BA5" s="35">
        <v>48</v>
      </c>
      <c r="BB5" s="35">
        <v>49</v>
      </c>
      <c r="BC5" s="35">
        <v>50</v>
      </c>
      <c r="BD5" s="35">
        <v>51</v>
      </c>
      <c r="BE5" s="35">
        <v>52</v>
      </c>
    </row>
    <row r="6" spans="3:57" ht="14.25" customHeight="1">
      <c r="C6" s="35"/>
      <c r="D6" s="34" t="s">
        <v>135</v>
      </c>
      <c r="E6" s="35"/>
      <c r="F6" s="35"/>
      <c r="G6" s="35"/>
      <c r="H6" s="35">
        <v>1</v>
      </c>
      <c r="I6" s="35">
        <v>2</v>
      </c>
      <c r="J6" s="35">
        <v>3</v>
      </c>
      <c r="K6" s="35">
        <v>4</v>
      </c>
      <c r="L6" s="35">
        <v>5</v>
      </c>
      <c r="M6" s="35">
        <v>6</v>
      </c>
      <c r="N6" s="35">
        <v>7</v>
      </c>
      <c r="O6" s="35">
        <v>8</v>
      </c>
      <c r="P6" s="35">
        <v>9</v>
      </c>
      <c r="Q6" s="35">
        <v>10</v>
      </c>
      <c r="R6" s="35">
        <v>11</v>
      </c>
      <c r="S6" s="35">
        <v>12</v>
      </c>
      <c r="T6" s="35">
        <v>13</v>
      </c>
      <c r="U6" s="35">
        <v>14</v>
      </c>
      <c r="V6" s="35">
        <v>15</v>
      </c>
      <c r="W6" s="35">
        <v>16</v>
      </c>
      <c r="X6" s="35">
        <v>17</v>
      </c>
      <c r="Y6" s="35">
        <v>18</v>
      </c>
      <c r="Z6" s="35">
        <v>19</v>
      </c>
      <c r="AA6" s="35">
        <v>20</v>
      </c>
      <c r="AB6" s="35">
        <v>21</v>
      </c>
      <c r="AC6" s="35">
        <v>22</v>
      </c>
      <c r="AD6" s="35">
        <v>23</v>
      </c>
      <c r="AE6" s="35">
        <v>24</v>
      </c>
      <c r="AF6" s="35">
        <v>25</v>
      </c>
      <c r="AG6" s="35">
        <v>26</v>
      </c>
      <c r="AH6" s="35">
        <v>27</v>
      </c>
      <c r="AI6" s="35">
        <v>28</v>
      </c>
      <c r="AJ6" s="35">
        <v>29</v>
      </c>
      <c r="AK6" s="35">
        <v>30</v>
      </c>
      <c r="AL6" s="35">
        <v>31</v>
      </c>
      <c r="AM6" s="35">
        <v>32</v>
      </c>
      <c r="AN6" s="35">
        <v>33</v>
      </c>
      <c r="AO6" s="35">
        <v>34</v>
      </c>
      <c r="AP6" s="35">
        <v>35</v>
      </c>
      <c r="AQ6" s="35">
        <v>36</v>
      </c>
      <c r="AR6" s="35">
        <v>37</v>
      </c>
      <c r="AS6" s="35">
        <v>38</v>
      </c>
      <c r="AT6" s="35">
        <v>39</v>
      </c>
      <c r="AU6" s="35">
        <v>40</v>
      </c>
      <c r="AV6" s="35">
        <v>41</v>
      </c>
      <c r="AW6" s="35">
        <v>42</v>
      </c>
      <c r="AX6" s="35">
        <v>43</v>
      </c>
      <c r="AY6" s="35">
        <v>44</v>
      </c>
      <c r="AZ6" s="35">
        <v>45</v>
      </c>
      <c r="BA6" s="35">
        <v>46</v>
      </c>
      <c r="BB6" s="35">
        <v>47</v>
      </c>
      <c r="BC6" s="35">
        <v>48</v>
      </c>
      <c r="BD6" s="35">
        <v>49</v>
      </c>
      <c r="BE6" s="35">
        <v>50</v>
      </c>
    </row>
    <row r="7" spans="3:57" ht="7.35" customHeight="1">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row>
    <row r="8" spans="3:57" ht="15.6" customHeight="1">
      <c r="C8" s="398" t="s">
        <v>39</v>
      </c>
      <c r="D8" s="36" t="s">
        <v>139</v>
      </c>
      <c r="E8" s="37"/>
      <c r="F8" s="37"/>
      <c r="G8" s="37"/>
      <c r="H8" s="120">
        <f>MAX('Technical parameters TEMP'!C49,'Technical parameters TEMP'!$C$28,'Technical parameters TEMP'!$C$7)-273.15</f>
        <v>122.86364012958239</v>
      </c>
      <c r="I8" s="120">
        <f>H8-'Technical parameters PROD'!$C$30</f>
        <v>122.86364012958239</v>
      </c>
      <c r="J8" s="120">
        <f>I8-'Technical parameters PROD'!$C$30</f>
        <v>122.86364012958239</v>
      </c>
      <c r="K8" s="120">
        <f>J8-'Technical parameters PROD'!$C$30</f>
        <v>122.86364012958239</v>
      </c>
      <c r="L8" s="120">
        <f>K8-'Technical parameters PROD'!$C$30</f>
        <v>122.86364012958239</v>
      </c>
      <c r="M8" s="120">
        <f>L8-'Technical parameters PROD'!$C$30</f>
        <v>122.86364012958239</v>
      </c>
      <c r="N8" s="120">
        <f>M8-'Technical parameters PROD'!$C$30</f>
        <v>122.86364012958239</v>
      </c>
      <c r="O8" s="120">
        <f>N8-'Technical parameters PROD'!$C$30</f>
        <v>122.86364012958239</v>
      </c>
      <c r="P8" s="120">
        <f>O8-'Technical parameters PROD'!$C$30</f>
        <v>122.86364012958239</v>
      </c>
      <c r="Q8" s="120">
        <f>P8-'Technical parameters PROD'!$C$30</f>
        <v>122.86364012958239</v>
      </c>
      <c r="R8" s="120">
        <f>Q8-'Technical parameters PROD'!$C$30</f>
        <v>122.86364012958239</v>
      </c>
      <c r="S8" s="120">
        <f>R8-'Technical parameters PROD'!$C$30</f>
        <v>122.86364012958239</v>
      </c>
      <c r="T8" s="120">
        <f>S8-'Technical parameters PROD'!$C$30</f>
        <v>122.86364012958239</v>
      </c>
      <c r="U8" s="120">
        <f>T8-'Technical parameters PROD'!$C$30</f>
        <v>122.86364012958239</v>
      </c>
      <c r="V8" s="120">
        <f>U8-'Technical parameters PROD'!$C$30</f>
        <v>122.86364012958239</v>
      </c>
      <c r="W8" s="120">
        <f>V8-'Technical parameters PROD'!$C$30</f>
        <v>122.86364012958239</v>
      </c>
      <c r="X8" s="120">
        <f>W8-'Technical parameters PROD'!$C$30</f>
        <v>122.86364012958239</v>
      </c>
      <c r="Y8" s="120">
        <f>X8-'Technical parameters PROD'!$C$30</f>
        <v>122.86364012958239</v>
      </c>
      <c r="Z8" s="120">
        <f>Y8-'Technical parameters PROD'!$C$30</f>
        <v>122.86364012958239</v>
      </c>
      <c r="AA8" s="120">
        <f>Z8-'Technical parameters PROD'!$C$30</f>
        <v>122.86364012958239</v>
      </c>
      <c r="AB8" s="120">
        <f>AA8-'Technical parameters PROD'!$C$30</f>
        <v>122.86364012958239</v>
      </c>
      <c r="AC8" s="120">
        <f>AB8-'Technical parameters PROD'!$C$30</f>
        <v>122.86364012958239</v>
      </c>
      <c r="AD8" s="120">
        <f>AC8-'Technical parameters PROD'!$C$30</f>
        <v>122.86364012958239</v>
      </c>
      <c r="AE8" s="120">
        <f>AD8-'Technical parameters PROD'!$C$30</f>
        <v>122.86364012958239</v>
      </c>
      <c r="AF8" s="120">
        <f>AE8-'Technical parameters PROD'!$C$30</f>
        <v>122.86364012958239</v>
      </c>
      <c r="AG8" s="120">
        <f>AF8-'Technical parameters PROD'!$C$30</f>
        <v>122.86364012958239</v>
      </c>
      <c r="AH8" s="120">
        <f>AG8-'Technical parameters PROD'!$C$30</f>
        <v>122.86364012958239</v>
      </c>
      <c r="AI8" s="120">
        <f>AH8-'Technical parameters PROD'!$C$30</f>
        <v>122.86364012958239</v>
      </c>
      <c r="AJ8" s="120">
        <f>AI8-'Technical parameters PROD'!$C$30</f>
        <v>122.86364012958239</v>
      </c>
      <c r="AK8" s="120">
        <f>AJ8-'Technical parameters PROD'!$C$30</f>
        <v>122.86364012958239</v>
      </c>
      <c r="AL8" s="120">
        <f>AK8-'Technical parameters PROD'!$C$30</f>
        <v>122.86364012958239</v>
      </c>
      <c r="AM8" s="120">
        <f>AL8-'Technical parameters PROD'!$C$30</f>
        <v>122.86364012958239</v>
      </c>
      <c r="AN8" s="120">
        <f>AM8-'Technical parameters PROD'!$C$30</f>
        <v>122.86364012958239</v>
      </c>
      <c r="AO8" s="120">
        <f>AN8-'Technical parameters PROD'!$C$30</f>
        <v>122.86364012958239</v>
      </c>
      <c r="AP8" s="120">
        <f>AO8-'Technical parameters PROD'!$C$30</f>
        <v>122.86364012958239</v>
      </c>
      <c r="AQ8" s="120">
        <f>AP8-'Technical parameters PROD'!$C$30</f>
        <v>122.86364012958239</v>
      </c>
      <c r="AR8" s="120">
        <f>AQ8-'Technical parameters PROD'!$C$30</f>
        <v>122.86364012958239</v>
      </c>
      <c r="AS8" s="120">
        <f>AR8-'Technical parameters PROD'!$C$30</f>
        <v>122.86364012958239</v>
      </c>
      <c r="AT8" s="120">
        <f>AS8-'Technical parameters PROD'!$C$30</f>
        <v>122.86364012958239</v>
      </c>
      <c r="AU8" s="120">
        <f>AT8-'Technical parameters PROD'!$C$30</f>
        <v>122.86364012958239</v>
      </c>
      <c r="AV8" s="120">
        <f>AU8-'Technical parameters PROD'!$C$30</f>
        <v>122.86364012958239</v>
      </c>
      <c r="AW8" s="120">
        <f>AV8-'Technical parameters PROD'!$C$30</f>
        <v>122.86364012958239</v>
      </c>
      <c r="AX8" s="120">
        <f>AW8-'Technical parameters PROD'!$C$30</f>
        <v>122.86364012958239</v>
      </c>
      <c r="AY8" s="120">
        <f>AX8-'Technical parameters PROD'!$C$30</f>
        <v>122.86364012958239</v>
      </c>
      <c r="AZ8" s="120">
        <f>AY8-'Technical parameters PROD'!$C$30</f>
        <v>122.86364012958239</v>
      </c>
      <c r="BA8" s="120">
        <f>AZ8-'Technical parameters PROD'!$C$30</f>
        <v>122.86364012958239</v>
      </c>
      <c r="BB8" s="120">
        <f>BA8-'Technical parameters PROD'!$C$30</f>
        <v>122.86364012958239</v>
      </c>
      <c r="BC8" s="120">
        <f>BB8-'Technical parameters PROD'!$C$30</f>
        <v>122.86364012958239</v>
      </c>
      <c r="BD8" s="120">
        <f>BC8-'Technical parameters PROD'!$C$30</f>
        <v>122.86364012958239</v>
      </c>
      <c r="BE8" s="120">
        <f>BD8-'Technical parameters PROD'!$C$30</f>
        <v>122.86364012958239</v>
      </c>
    </row>
    <row r="9" spans="3:57" ht="15.6" customHeight="1">
      <c r="C9" s="398"/>
      <c r="D9" s="71" t="s">
        <v>140</v>
      </c>
      <c r="E9" s="72"/>
      <c r="F9" s="72"/>
      <c r="G9" s="72"/>
      <c r="H9" s="121">
        <f>'Technical parameters PROD'!C16</f>
        <v>122.86364012958239</v>
      </c>
      <c r="I9" s="121">
        <f>IF($H$9="n/a","n/a",H9*(1-'Technical parameters PROD'!$C$21))</f>
        <v>122.86364012958239</v>
      </c>
      <c r="J9" s="121">
        <f>IF($H$9="n/a","n/a",I9*(1-'Technical parameters PROD'!$C$21))</f>
        <v>122.86364012958239</v>
      </c>
      <c r="K9" s="121">
        <f>IF($H$9="n/a","n/a",J9*(1-'Technical parameters PROD'!$C$21))</f>
        <v>122.86364012958239</v>
      </c>
      <c r="L9" s="121">
        <f>IF($H$9="n/a","n/a",K9*(1-'Technical parameters PROD'!$C$21))</f>
        <v>122.86364012958239</v>
      </c>
      <c r="M9" s="121">
        <f>IF($H$9="n/a","n/a",L9*(1-'Technical parameters PROD'!$C$21))</f>
        <v>122.86364012958239</v>
      </c>
      <c r="N9" s="121">
        <f>IF($H$9="n/a","n/a",M9*(1-'Technical parameters PROD'!$C$21))</f>
        <v>122.86364012958239</v>
      </c>
      <c r="O9" s="121">
        <f>IF($H$9="n/a","n/a",N9*(1-'Technical parameters PROD'!$C$21))</f>
        <v>122.86364012958239</v>
      </c>
      <c r="P9" s="121">
        <f>IF($H$9="n/a","n/a",O9*(1-'Technical parameters PROD'!$C$21))</f>
        <v>122.86364012958239</v>
      </c>
      <c r="Q9" s="121">
        <f>IF($H$9="n/a","n/a",P9*(1-'Technical parameters PROD'!$C$21))</f>
        <v>122.86364012958239</v>
      </c>
      <c r="R9" s="121">
        <f>IF($H$9="n/a","n/a",Q9*(1-'Technical parameters PROD'!$C$21))</f>
        <v>122.86364012958239</v>
      </c>
      <c r="S9" s="121">
        <f>IF($H$9="n/a","n/a",R9*(1-'Technical parameters PROD'!$C$21))</f>
        <v>122.86364012958239</v>
      </c>
      <c r="T9" s="121">
        <f>IF($H$9="n/a","n/a",S9*(1-'Technical parameters PROD'!$C$21))</f>
        <v>122.86364012958239</v>
      </c>
      <c r="U9" s="121">
        <f>IF($H$9="n/a","n/a",T9*(1-'Technical parameters PROD'!$C$21))</f>
        <v>122.86364012958239</v>
      </c>
      <c r="V9" s="121">
        <f>IF($H$9="n/a","n/a",U9*(1-'Technical parameters PROD'!$C$21))</f>
        <v>122.86364012958239</v>
      </c>
      <c r="W9" s="121">
        <f>IF($H$9="n/a","n/a",V9*(1-'Technical parameters PROD'!$C$21))</f>
        <v>122.86364012958239</v>
      </c>
      <c r="X9" s="121">
        <f>IF($H$9="n/a","n/a",W9*(1-'Technical parameters PROD'!$C$21))</f>
        <v>122.86364012958239</v>
      </c>
      <c r="Y9" s="121">
        <f>IF($H$9="n/a","n/a",X9*(1-'Technical parameters PROD'!$C$21))</f>
        <v>122.86364012958239</v>
      </c>
      <c r="Z9" s="121">
        <f>IF($H$9="n/a","n/a",Y9*(1-'Technical parameters PROD'!$C$21))</f>
        <v>122.86364012958239</v>
      </c>
      <c r="AA9" s="121">
        <f>IF($H$9="n/a","n/a",Z9*(1-'Technical parameters PROD'!$C$21))</f>
        <v>122.86364012958239</v>
      </c>
      <c r="AB9" s="121">
        <f>IF($H$9="n/a","n/a",AA9*(1-'Technical parameters PROD'!$C$21))</f>
        <v>122.86364012958239</v>
      </c>
      <c r="AC9" s="121">
        <f>IF($H$9="n/a","n/a",AB9*(1-'Technical parameters PROD'!$C$21))</f>
        <v>122.86364012958239</v>
      </c>
      <c r="AD9" s="121">
        <f>IF($H$9="n/a","n/a",AC9*(1-'Technical parameters PROD'!$C$21))</f>
        <v>122.86364012958239</v>
      </c>
      <c r="AE9" s="121">
        <f>IF($H$9="n/a","n/a",AD9*(1-'Technical parameters PROD'!$C$21))</f>
        <v>122.86364012958239</v>
      </c>
      <c r="AF9" s="121">
        <f>IF($H$9="n/a","n/a",AE9*(1-'Technical parameters PROD'!$C$21))</f>
        <v>122.86364012958239</v>
      </c>
      <c r="AG9" s="121">
        <f>IF($H$9="n/a","n/a",AF9*(1-'Technical parameters PROD'!$C$21))</f>
        <v>122.86364012958239</v>
      </c>
      <c r="AH9" s="121">
        <f>IF($H$9="n/a","n/a",AG9*(1-'Technical parameters PROD'!$C$21))</f>
        <v>122.86364012958239</v>
      </c>
      <c r="AI9" s="121">
        <f>IF($H$9="n/a","n/a",AH9*(1-'Technical parameters PROD'!$C$21))</f>
        <v>122.86364012958239</v>
      </c>
      <c r="AJ9" s="121">
        <f>IF($H$9="n/a","n/a",AI9*(1-'Technical parameters PROD'!$C$21))</f>
        <v>122.86364012958239</v>
      </c>
      <c r="AK9" s="121">
        <f>IF($H$9="n/a","n/a",AJ9*(1-'Technical parameters PROD'!$C$21))</f>
        <v>122.86364012958239</v>
      </c>
      <c r="AL9" s="121">
        <f>IF($H$9="n/a","n/a",AK9*(1-'Technical parameters PROD'!$C$21))</f>
        <v>122.86364012958239</v>
      </c>
      <c r="AM9" s="121">
        <f>IF($H$9="n/a","n/a",AL9*(1-'Technical parameters PROD'!$C$21))</f>
        <v>122.86364012958239</v>
      </c>
      <c r="AN9" s="121">
        <f>IF($H$9="n/a","n/a",AM9*(1-'Technical parameters PROD'!$C$21))</f>
        <v>122.86364012958239</v>
      </c>
      <c r="AO9" s="121">
        <f>IF($H$9="n/a","n/a",AN9*(1-'Technical parameters PROD'!$C$21))</f>
        <v>122.86364012958239</v>
      </c>
      <c r="AP9" s="121">
        <f>IF($H$9="n/a","n/a",AO9*(1-'Technical parameters PROD'!$C$21))</f>
        <v>122.86364012958239</v>
      </c>
      <c r="AQ9" s="121">
        <f>IF($H$9="n/a","n/a",AP9*(1-'Technical parameters PROD'!$C$21))</f>
        <v>122.86364012958239</v>
      </c>
      <c r="AR9" s="121">
        <f>IF($H$9="n/a","n/a",AQ9*(1-'Technical parameters PROD'!$C$21))</f>
        <v>122.86364012958239</v>
      </c>
      <c r="AS9" s="121">
        <f>IF($H$9="n/a","n/a",AR9*(1-'Technical parameters PROD'!$C$21))</f>
        <v>122.86364012958239</v>
      </c>
      <c r="AT9" s="121">
        <f>IF($H$9="n/a","n/a",AS9*(1-'Technical parameters PROD'!$C$21))</f>
        <v>122.86364012958239</v>
      </c>
      <c r="AU9" s="121">
        <f>IF($H$9="n/a","n/a",AT9*(1-'Technical parameters PROD'!$C$21))</f>
        <v>122.86364012958239</v>
      </c>
      <c r="AV9" s="121">
        <f>IF($H$9="n/a","n/a",AU9*(1-'Technical parameters PROD'!$C$21))</f>
        <v>122.86364012958239</v>
      </c>
      <c r="AW9" s="121">
        <f>IF($H$9="n/a","n/a",AV9*(1-'Technical parameters PROD'!$C$21))</f>
        <v>122.86364012958239</v>
      </c>
      <c r="AX9" s="121">
        <f>IF($H$9="n/a","n/a",AW9*(1-'Technical parameters PROD'!$C$21))</f>
        <v>122.86364012958239</v>
      </c>
      <c r="AY9" s="121">
        <f>IF($H$9="n/a","n/a",AX9*(1-'Technical parameters PROD'!$C$21))</f>
        <v>122.86364012958239</v>
      </c>
      <c r="AZ9" s="121">
        <f>IF($H$9="n/a","n/a",AY9*(1-'Technical parameters PROD'!$C$21))</f>
        <v>122.86364012958239</v>
      </c>
      <c r="BA9" s="121">
        <f>IF($H$9="n/a","n/a",AZ9*(1-'Technical parameters PROD'!$C$21))</f>
        <v>122.86364012958239</v>
      </c>
      <c r="BB9" s="121">
        <f>IF($H$9="n/a","n/a",BA9*(1-'Technical parameters PROD'!$C$21))</f>
        <v>122.86364012958239</v>
      </c>
      <c r="BC9" s="121">
        <f>IF($H$9="n/a","n/a",BB9*(1-'Technical parameters PROD'!$C$21))</f>
        <v>122.86364012958239</v>
      </c>
      <c r="BD9" s="121">
        <f>IF($H$9="n/a","n/a",BC9*(1-'Technical parameters PROD'!$C$21))</f>
        <v>122.86364012958239</v>
      </c>
      <c r="BE9" s="121">
        <f>IF($H$9="n/a","n/a",BD9*(1-'Technical parameters PROD'!$C$21))</f>
        <v>122.86364012958239</v>
      </c>
    </row>
    <row r="10" spans="3:57" ht="15.6" customHeight="1">
      <c r="C10" s="398"/>
      <c r="D10" s="73" t="s">
        <v>34</v>
      </c>
      <c r="E10" s="74"/>
      <c r="F10" s="74"/>
      <c r="G10" s="74"/>
      <c r="H10" s="122">
        <f>IF($H$9="n/a","n/a",'Technical parameters PROD'!$C$18*(1-('Technical parameters TEMP'!$C$12)/(H9+273.15)))</f>
        <v>0.15001377743410849</v>
      </c>
      <c r="I10" s="122">
        <f>IF($H$9="n/a","n/a",'Technical parameters PROD'!$C$18*(1-('Technical parameters TEMP'!$C$12)/(I9+273.15)))</f>
        <v>0.15001377743410849</v>
      </c>
      <c r="J10" s="122">
        <f>IF($H$9="n/a","n/a",'Technical parameters PROD'!$C$18*(1-('Technical parameters TEMP'!$C$12)/(J9+273.15)))</f>
        <v>0.15001377743410849</v>
      </c>
      <c r="K10" s="122">
        <f>IF($H$9="n/a","n/a",'Technical parameters PROD'!$C$18*(1-('Technical parameters TEMP'!$C$12)/(K9+273.15)))</f>
        <v>0.15001377743410849</v>
      </c>
      <c r="L10" s="122">
        <f>IF($H$9="n/a","n/a",'Technical parameters PROD'!$C$18*(1-('Technical parameters TEMP'!$C$12)/(L9+273.15)))</f>
        <v>0.15001377743410849</v>
      </c>
      <c r="M10" s="122">
        <f>IF($H$9="n/a","n/a",'Technical parameters PROD'!$C$18*(1-('Technical parameters TEMP'!$C$12)/(M9+273.15)))</f>
        <v>0.15001377743410849</v>
      </c>
      <c r="N10" s="122">
        <f>IF($H$9="n/a","n/a",'Technical parameters PROD'!$C$18*(1-('Technical parameters TEMP'!$C$12)/(N9+273.15)))</f>
        <v>0.15001377743410849</v>
      </c>
      <c r="O10" s="122">
        <f>IF($H$9="n/a","n/a",'Technical parameters PROD'!$C$18*(1-('Technical parameters TEMP'!$C$12)/(O9+273.15)))</f>
        <v>0.15001377743410849</v>
      </c>
      <c r="P10" s="122">
        <f>IF($H$9="n/a","n/a",'Technical parameters PROD'!$C$18*(1-('Technical parameters TEMP'!$C$12)/(P9+273.15)))</f>
        <v>0.15001377743410849</v>
      </c>
      <c r="Q10" s="122">
        <f>IF($H$9="n/a","n/a",'Technical parameters PROD'!$C$18*(1-('Technical parameters TEMP'!$C$12)/(Q9+273.15)))</f>
        <v>0.15001377743410849</v>
      </c>
      <c r="R10" s="122">
        <f>IF($H$9="n/a","n/a",'Technical parameters PROD'!$C$18*(1-('Technical parameters TEMP'!$C$12)/(R9+273.15)))</f>
        <v>0.15001377743410849</v>
      </c>
      <c r="S10" s="122">
        <f>IF($H$9="n/a","n/a",'Technical parameters PROD'!$C$18*(1-('Technical parameters TEMP'!$C$12)/(S9+273.15)))</f>
        <v>0.15001377743410849</v>
      </c>
      <c r="T10" s="122">
        <f>IF($H$9="n/a","n/a",'Technical parameters PROD'!$C$18*(1-('Technical parameters TEMP'!$C$12)/(T9+273.15)))</f>
        <v>0.15001377743410849</v>
      </c>
      <c r="U10" s="122">
        <f>IF($H$9="n/a","n/a",'Technical parameters PROD'!$C$18*(1-('Technical parameters TEMP'!$C$12)/(U9+273.15)))</f>
        <v>0.15001377743410849</v>
      </c>
      <c r="V10" s="122">
        <f>IF($H$9="n/a","n/a",'Technical parameters PROD'!$C$18*(1-('Technical parameters TEMP'!$C$12)/(V9+273.15)))</f>
        <v>0.15001377743410849</v>
      </c>
      <c r="W10" s="122">
        <f>IF($H$9="n/a","n/a",'Technical parameters PROD'!$C$18*(1-('Technical parameters TEMP'!$C$12)/(W9+273.15)))</f>
        <v>0.15001377743410849</v>
      </c>
      <c r="X10" s="122">
        <f>IF($H$9="n/a","n/a",'Technical parameters PROD'!$C$18*(1-('Technical parameters TEMP'!$C$12)/(X9+273.15)))</f>
        <v>0.15001377743410849</v>
      </c>
      <c r="Y10" s="122">
        <f>IF($H$9="n/a","n/a",'Technical parameters PROD'!$C$18*(1-('Technical parameters TEMP'!$C$12)/(Y9+273.15)))</f>
        <v>0.15001377743410849</v>
      </c>
      <c r="Z10" s="122">
        <f>IF($H$9="n/a","n/a",'Technical parameters PROD'!$C$18*(1-('Technical parameters TEMP'!$C$12)/(Z9+273.15)))</f>
        <v>0.15001377743410849</v>
      </c>
      <c r="AA10" s="122">
        <f>IF($H$9="n/a","n/a",'Technical parameters PROD'!$C$18*(1-('Technical parameters TEMP'!$C$12)/(AA9+273.15)))</f>
        <v>0.15001377743410849</v>
      </c>
      <c r="AB10" s="122">
        <f>IF($H$9="n/a","n/a",'Technical parameters PROD'!$C$18*(1-('Technical parameters TEMP'!$C$12)/(AB9+273.15)))</f>
        <v>0.15001377743410849</v>
      </c>
      <c r="AC10" s="122">
        <f>IF($H$9="n/a","n/a",'Technical parameters PROD'!$C$18*(1-('Technical parameters TEMP'!$C$12)/(AC9+273.15)))</f>
        <v>0.15001377743410849</v>
      </c>
      <c r="AD10" s="122">
        <f>IF($H$9="n/a","n/a",'Technical parameters PROD'!$C$18*(1-('Technical parameters TEMP'!$C$12)/(AD9+273.15)))</f>
        <v>0.15001377743410849</v>
      </c>
      <c r="AE10" s="122">
        <f>IF($H$9="n/a","n/a",'Technical parameters PROD'!$C$18*(1-('Technical parameters TEMP'!$C$12)/(AE9+273.15)))</f>
        <v>0.15001377743410849</v>
      </c>
      <c r="AF10" s="122">
        <f>IF($H$9="n/a","n/a",'Technical parameters PROD'!$C$18*(1-('Technical parameters TEMP'!$C$12)/(AF9+273.15)))</f>
        <v>0.15001377743410849</v>
      </c>
      <c r="AG10" s="122">
        <f>IF($H$9="n/a","n/a",'Technical parameters PROD'!$C$18*(1-('Technical parameters TEMP'!$C$12)/(AG9+273.15)))</f>
        <v>0.15001377743410849</v>
      </c>
      <c r="AH10" s="122">
        <f>IF($H$9="n/a","n/a",'Technical parameters PROD'!$C$18*(1-('Technical parameters TEMP'!$C$12)/(AH9+273.15)))</f>
        <v>0.15001377743410849</v>
      </c>
      <c r="AI10" s="122">
        <f>IF($H$9="n/a","n/a",'Technical parameters PROD'!$C$18*(1-('Technical parameters TEMP'!$C$12)/(AI9+273.15)))</f>
        <v>0.15001377743410849</v>
      </c>
      <c r="AJ10" s="122">
        <f>IF($H$9="n/a","n/a",'Technical parameters PROD'!$C$18*(1-('Technical parameters TEMP'!$C$12)/(AJ9+273.15)))</f>
        <v>0.15001377743410849</v>
      </c>
      <c r="AK10" s="122">
        <f>IF($H$9="n/a","n/a",'Technical parameters PROD'!$C$18*(1-('Technical parameters TEMP'!$C$12)/(AK9+273.15)))</f>
        <v>0.15001377743410849</v>
      </c>
      <c r="AL10" s="122">
        <f>IF($H$9="n/a","n/a",'Technical parameters PROD'!$C$18*(1-('Technical parameters TEMP'!$C$12)/(AL9+273.15)))</f>
        <v>0.15001377743410849</v>
      </c>
      <c r="AM10" s="122">
        <f>IF($H$9="n/a","n/a",'Technical parameters PROD'!$C$18*(1-('Technical parameters TEMP'!$C$12)/(AM9+273.15)))</f>
        <v>0.15001377743410849</v>
      </c>
      <c r="AN10" s="122">
        <f>IF($H$9="n/a","n/a",'Technical parameters PROD'!$C$18*(1-('Technical parameters TEMP'!$C$12)/(AN9+273.15)))</f>
        <v>0.15001377743410849</v>
      </c>
      <c r="AO10" s="122">
        <f>IF($H$9="n/a","n/a",'Technical parameters PROD'!$C$18*(1-('Technical parameters TEMP'!$C$12)/(AO9+273.15)))</f>
        <v>0.15001377743410849</v>
      </c>
      <c r="AP10" s="122">
        <f>IF($H$9="n/a","n/a",'Technical parameters PROD'!$C$18*(1-('Technical parameters TEMP'!$C$12)/(AP9+273.15)))</f>
        <v>0.15001377743410849</v>
      </c>
      <c r="AQ10" s="122">
        <f>IF($H$9="n/a","n/a",'Technical parameters PROD'!$C$18*(1-('Technical parameters TEMP'!$C$12)/(AQ9+273.15)))</f>
        <v>0.15001377743410849</v>
      </c>
      <c r="AR10" s="122">
        <f>IF($H$9="n/a","n/a",'Technical parameters PROD'!$C$18*(1-('Technical parameters TEMP'!$C$12)/(AR9+273.15)))</f>
        <v>0.15001377743410849</v>
      </c>
      <c r="AS10" s="122">
        <f>IF($H$9="n/a","n/a",'Technical parameters PROD'!$C$18*(1-('Technical parameters TEMP'!$C$12)/(AS9+273.15)))</f>
        <v>0.15001377743410849</v>
      </c>
      <c r="AT10" s="122">
        <f>IF($H$9="n/a","n/a",'Technical parameters PROD'!$C$18*(1-('Technical parameters TEMP'!$C$12)/(AT9+273.15)))</f>
        <v>0.15001377743410849</v>
      </c>
      <c r="AU10" s="122">
        <f>IF($H$9="n/a","n/a",'Technical parameters PROD'!$C$18*(1-('Technical parameters TEMP'!$C$12)/(AU9+273.15)))</f>
        <v>0.15001377743410849</v>
      </c>
      <c r="AV10" s="122">
        <f>IF($H$9="n/a","n/a",'Technical parameters PROD'!$C$18*(1-('Technical parameters TEMP'!$C$12)/(AV9+273.15)))</f>
        <v>0.15001377743410849</v>
      </c>
      <c r="AW10" s="122">
        <f>IF($H$9="n/a","n/a",'Technical parameters PROD'!$C$18*(1-('Technical parameters TEMP'!$C$12)/(AW9+273.15)))</f>
        <v>0.15001377743410849</v>
      </c>
      <c r="AX10" s="122">
        <f>IF($H$9="n/a","n/a",'Technical parameters PROD'!$C$18*(1-('Technical parameters TEMP'!$C$12)/(AX9+273.15)))</f>
        <v>0.15001377743410849</v>
      </c>
      <c r="AY10" s="122">
        <f>IF($H$9="n/a","n/a",'Technical parameters PROD'!$C$18*(1-('Technical parameters TEMP'!$C$12)/(AY9+273.15)))</f>
        <v>0.15001377743410849</v>
      </c>
      <c r="AZ10" s="122">
        <f>IF($H$9="n/a","n/a",'Technical parameters PROD'!$C$18*(1-('Technical parameters TEMP'!$C$12)/(AZ9+273.15)))</f>
        <v>0.15001377743410849</v>
      </c>
      <c r="BA10" s="122">
        <f>IF($H$9="n/a","n/a",'Technical parameters PROD'!$C$18*(1-('Technical parameters TEMP'!$C$12)/(BA9+273.15)))</f>
        <v>0.15001377743410849</v>
      </c>
      <c r="BB10" s="122">
        <f>IF($H$9="n/a","n/a",'Technical parameters PROD'!$C$18*(1-('Technical parameters TEMP'!$C$12)/(BB9+273.15)))</f>
        <v>0.15001377743410849</v>
      </c>
      <c r="BC10" s="122">
        <f>IF($H$9="n/a","n/a",'Technical parameters PROD'!$C$18*(1-('Technical parameters TEMP'!$C$12)/(BC9+273.15)))</f>
        <v>0.15001377743410849</v>
      </c>
      <c r="BD10" s="122">
        <f>IF($H$9="n/a","n/a",'Technical parameters PROD'!$C$18*(1-('Technical parameters TEMP'!$C$12)/(BD9+273.15)))</f>
        <v>0.15001377743410849</v>
      </c>
      <c r="BE10" s="122">
        <f>IF($H$9="n/a","n/a",'Technical parameters PROD'!$C$18*(1-('Technical parameters TEMP'!$C$12)/(BE9+273.15)))</f>
        <v>0.15001377743410849</v>
      </c>
    </row>
    <row r="11" spans="3:57" ht="15.6" customHeight="1">
      <c r="C11" s="398"/>
      <c r="D11" s="73" t="s">
        <v>240</v>
      </c>
      <c r="E11" s="75"/>
      <c r="F11" s="75"/>
      <c r="G11" s="75"/>
      <c r="H11" s="76">
        <f>IF($H$9="n/a","n/a",H10*(IF('Technical parameters PROD'!$C$9&gt;1,'Technical parameters PROD'!$C$9,1)*'Technical parameters PROD'!$C$11)*'Technical parameters TEMP'!$C$16*(H9-'Technical parameters PROD'!$C$17)/10^6)</f>
        <v>1.1314347236989393</v>
      </c>
      <c r="I11" s="76">
        <f>IF($H$9="n/a","n/a",I10*(IF('Technical parameters PROD'!$C$9&gt;1,'Technical parameters PROD'!$C$9,1)*'Technical parameters PROD'!$C$11)*'Technical parameters TEMP'!$C$16*(I9-'Technical parameters PROD'!$C$17)/10^6)</f>
        <v>1.1314347236989393</v>
      </c>
      <c r="J11" s="76">
        <f>IF($H$9="n/a","n/a",J10*(IF('Technical parameters PROD'!$C$9&gt;1,'Technical parameters PROD'!$C$9,1)*'Technical parameters PROD'!$C$11)*'Technical parameters TEMP'!$C$16*(J9-'Technical parameters PROD'!$C$17)/10^6)</f>
        <v>1.1314347236989393</v>
      </c>
      <c r="K11" s="76">
        <f>IF($H$9="n/a","n/a",K10*(IF('Technical parameters PROD'!$C$9&gt;1,'Technical parameters PROD'!$C$9,1)*'Technical parameters PROD'!$C$11)*'Technical parameters TEMP'!$C$16*(K9-'Technical parameters PROD'!$C$17)/10^6)</f>
        <v>1.1314347236989393</v>
      </c>
      <c r="L11" s="76">
        <f>IF($H$9="n/a","n/a",L10*(IF('Technical parameters PROD'!$C$9&gt;1,'Technical parameters PROD'!$C$9,1)*'Technical parameters PROD'!$C$11)*'Technical parameters TEMP'!$C$16*(L9-'Technical parameters PROD'!$C$17)/10^6)</f>
        <v>1.1314347236989393</v>
      </c>
      <c r="M11" s="76">
        <f>IF($H$9="n/a","n/a",M10*(IF('Technical parameters PROD'!$C$9&gt;1,'Technical parameters PROD'!$C$9,1)*'Technical parameters PROD'!$C$11)*'Technical parameters TEMP'!$C$16*(M9-'Technical parameters PROD'!$C$17)/10^6)</f>
        <v>1.1314347236989393</v>
      </c>
      <c r="N11" s="76">
        <f>IF($H$9="n/a","n/a",N10*(IF('Technical parameters PROD'!$C$9&gt;1,'Technical parameters PROD'!$C$9,1)*'Technical parameters PROD'!$C$11)*'Technical parameters TEMP'!$C$16*(N9-'Technical parameters PROD'!$C$17)/10^6)</f>
        <v>1.1314347236989393</v>
      </c>
      <c r="O11" s="76">
        <f>IF($H$9="n/a","n/a",O10*(IF('Technical parameters PROD'!$C$9&gt;1,'Technical parameters PROD'!$C$9,1)*'Technical parameters PROD'!$C$11)*'Technical parameters TEMP'!$C$16*(O9-'Technical parameters PROD'!$C$17)/10^6)</f>
        <v>1.1314347236989393</v>
      </c>
      <c r="P11" s="76">
        <f>IF($H$9="n/a","n/a",P10*(IF('Technical parameters PROD'!$C$9&gt;1,'Technical parameters PROD'!$C$9,1)*'Technical parameters PROD'!$C$11)*'Technical parameters TEMP'!$C$16*(P9-'Technical parameters PROD'!$C$17)/10^6)</f>
        <v>1.1314347236989393</v>
      </c>
      <c r="Q11" s="76">
        <f>IF($H$9="n/a","n/a",Q10*(IF('Technical parameters PROD'!$C$9&gt;1,'Technical parameters PROD'!$C$9,1)*'Technical parameters PROD'!$C$11)*'Technical parameters TEMP'!$C$16*(Q9-'Technical parameters PROD'!$C$17)/10^6)</f>
        <v>1.1314347236989393</v>
      </c>
      <c r="R11" s="76">
        <f>IF($H$9="n/a","n/a",R10*(IF('Technical parameters PROD'!$C$9&gt;1,'Technical parameters PROD'!$C$9,1)*'Technical parameters PROD'!$C$11)*'Technical parameters TEMP'!$C$16*(R9-'Technical parameters PROD'!$C$17)/10^6)</f>
        <v>1.1314347236989393</v>
      </c>
      <c r="S11" s="76">
        <f>IF($H$9="n/a","n/a",S10*(IF('Technical parameters PROD'!$C$9&gt;1,'Technical parameters PROD'!$C$9,1)*'Technical parameters PROD'!$C$11)*'Technical parameters TEMP'!$C$16*(S9-'Technical parameters PROD'!$C$17)/10^6)</f>
        <v>1.1314347236989393</v>
      </c>
      <c r="T11" s="76">
        <f>IF($H$9="n/a","n/a",T10*(IF('Technical parameters PROD'!$C$9&gt;1,'Technical parameters PROD'!$C$9,1)*'Technical parameters PROD'!$C$11)*'Technical parameters TEMP'!$C$16*(T9-'Technical parameters PROD'!$C$17)/10^6)</f>
        <v>1.1314347236989393</v>
      </c>
      <c r="U11" s="76">
        <f>IF($H$9="n/a","n/a",U10*(IF('Technical parameters PROD'!$C$9&gt;1,'Technical parameters PROD'!$C$9,1)*'Technical parameters PROD'!$C$11)*'Technical parameters TEMP'!$C$16*(U9-'Technical parameters PROD'!$C$17)/10^6)</f>
        <v>1.1314347236989393</v>
      </c>
      <c r="V11" s="76">
        <f>IF($H$9="n/a","n/a",V10*(IF('Technical parameters PROD'!$C$9&gt;1,'Technical parameters PROD'!$C$9,1)*'Technical parameters PROD'!$C$11)*'Technical parameters TEMP'!$C$16*(V9-'Technical parameters PROD'!$C$17)/10^6)</f>
        <v>1.1314347236989393</v>
      </c>
      <c r="W11" s="76">
        <f>IF($H$9="n/a","n/a",W10*(IF('Technical parameters PROD'!$C$9&gt;1,'Technical parameters PROD'!$C$9,1)*'Technical parameters PROD'!$C$11)*'Technical parameters TEMP'!$C$16*(W9-'Technical parameters PROD'!$C$17)/10^6)</f>
        <v>1.1314347236989393</v>
      </c>
      <c r="X11" s="76">
        <f>IF($H$9="n/a","n/a",X10*(IF('Technical parameters PROD'!$C$9&gt;1,'Technical parameters PROD'!$C$9,1)*'Technical parameters PROD'!$C$11)*'Technical parameters TEMP'!$C$16*(X9-'Technical parameters PROD'!$C$17)/10^6)</f>
        <v>1.1314347236989393</v>
      </c>
      <c r="Y11" s="76">
        <f>IF($H$9="n/a","n/a",Y10*(IF('Technical parameters PROD'!$C$9&gt;1,'Technical parameters PROD'!$C$9,1)*'Technical parameters PROD'!$C$11)*'Technical parameters TEMP'!$C$16*(Y9-'Technical parameters PROD'!$C$17)/10^6)</f>
        <v>1.1314347236989393</v>
      </c>
      <c r="Z11" s="76">
        <f>IF($H$9="n/a","n/a",Z10*(IF('Technical parameters PROD'!$C$9&gt;1,'Technical parameters PROD'!$C$9,1)*'Technical parameters PROD'!$C$11)*'Technical parameters TEMP'!$C$16*(Z9-'Technical parameters PROD'!$C$17)/10^6)</f>
        <v>1.1314347236989393</v>
      </c>
      <c r="AA11" s="76">
        <f>IF($H$9="n/a","n/a",AA10*(IF('Technical parameters PROD'!$C$9&gt;1,'Technical parameters PROD'!$C$9,1)*'Technical parameters PROD'!$C$11)*'Technical parameters TEMP'!$C$16*(AA9-'Technical parameters PROD'!$C$17)/10^6)</f>
        <v>1.1314347236989393</v>
      </c>
      <c r="AB11" s="76">
        <f>IF($H$9="n/a","n/a",AB10*(IF('Technical parameters PROD'!$C$9&gt;1,'Technical parameters PROD'!$C$9,1)*'Technical parameters PROD'!$C$11)*'Technical parameters TEMP'!$C$16*(AB9-'Technical parameters PROD'!$C$17)/10^6)</f>
        <v>1.1314347236989393</v>
      </c>
      <c r="AC11" s="76">
        <f>IF($H$9="n/a","n/a",AC10*(IF('Technical parameters PROD'!$C$9&gt;1,'Technical parameters PROD'!$C$9,1)*'Technical parameters PROD'!$C$11)*'Technical parameters TEMP'!$C$16*(AC9-'Technical parameters PROD'!$C$17)/10^6)</f>
        <v>1.1314347236989393</v>
      </c>
      <c r="AD11" s="76">
        <f>IF($H$9="n/a","n/a",AD10*(IF('Technical parameters PROD'!$C$9&gt;1,'Technical parameters PROD'!$C$9,1)*'Technical parameters PROD'!$C$11)*'Technical parameters TEMP'!$C$16*(AD9-'Technical parameters PROD'!$C$17)/10^6)</f>
        <v>1.1314347236989393</v>
      </c>
      <c r="AE11" s="76">
        <f>IF($H$9="n/a","n/a",AE10*(IF('Technical parameters PROD'!$C$9&gt;1,'Technical parameters PROD'!$C$9,1)*'Technical parameters PROD'!$C$11)*'Technical parameters TEMP'!$C$16*(AE9-'Technical parameters PROD'!$C$17)/10^6)</f>
        <v>1.1314347236989393</v>
      </c>
      <c r="AF11" s="76">
        <f>IF($H$9="n/a","n/a",AF10*(IF('Technical parameters PROD'!$C$9&gt;1,'Technical parameters PROD'!$C$9,1)*'Technical parameters PROD'!$C$11)*'Technical parameters TEMP'!$C$16*(AF9-'Technical parameters PROD'!$C$17)/10^6)</f>
        <v>1.1314347236989393</v>
      </c>
      <c r="AG11" s="76">
        <f>IF($H$9="n/a","n/a",AG10*(IF('Technical parameters PROD'!$C$9&gt;1,'Technical parameters PROD'!$C$9,1)*'Technical parameters PROD'!$C$11)*'Technical parameters TEMP'!$C$16*(AG9-'Technical parameters PROD'!$C$17)/10^6)</f>
        <v>1.1314347236989393</v>
      </c>
      <c r="AH11" s="76">
        <f>IF($H$9="n/a","n/a",AH10*(IF('Technical parameters PROD'!$C$9&gt;1,'Technical parameters PROD'!$C$9,1)*'Technical parameters PROD'!$C$11)*'Technical parameters TEMP'!$C$16*(AH9-'Technical parameters PROD'!$C$17)/10^6)</f>
        <v>1.1314347236989393</v>
      </c>
      <c r="AI11" s="76">
        <f>IF($H$9="n/a","n/a",AI10*(IF('Technical parameters PROD'!$C$9&gt;1,'Technical parameters PROD'!$C$9,1)*'Technical parameters PROD'!$C$11)*'Technical parameters TEMP'!$C$16*(AI9-'Technical parameters PROD'!$C$17)/10^6)</f>
        <v>1.1314347236989393</v>
      </c>
      <c r="AJ11" s="76">
        <f>IF($H$9="n/a","n/a",AJ10*(IF('Technical parameters PROD'!$C$9&gt;1,'Technical parameters PROD'!$C$9,1)*'Technical parameters PROD'!$C$11)*'Technical parameters TEMP'!$C$16*(AJ9-'Technical parameters PROD'!$C$17)/10^6)</f>
        <v>1.1314347236989393</v>
      </c>
      <c r="AK11" s="76">
        <f>IF($H$9="n/a","n/a",AK10*(IF('Technical parameters PROD'!$C$9&gt;1,'Technical parameters PROD'!$C$9,1)*'Technical parameters PROD'!$C$11)*'Technical parameters TEMP'!$C$16*(AK9-'Technical parameters PROD'!$C$17)/10^6)</f>
        <v>1.1314347236989393</v>
      </c>
      <c r="AL11" s="76">
        <f>IF($H$9="n/a","n/a",AL10*(IF('Technical parameters PROD'!$C$9&gt;1,'Technical parameters PROD'!$C$9,1)*'Technical parameters PROD'!$C$11)*'Technical parameters TEMP'!$C$16*(AL9-'Technical parameters PROD'!$C$17)/10^6)</f>
        <v>1.1314347236989393</v>
      </c>
      <c r="AM11" s="76">
        <f>IF($H$9="n/a","n/a",AM10*(IF('Technical parameters PROD'!$C$9&gt;1,'Technical parameters PROD'!$C$9,1)*'Technical parameters PROD'!$C$11)*'Technical parameters TEMP'!$C$16*(AM9-'Technical parameters PROD'!$C$17)/10^6)</f>
        <v>1.1314347236989393</v>
      </c>
      <c r="AN11" s="76">
        <f>IF($H$9="n/a","n/a",AN10*(IF('Technical parameters PROD'!$C$9&gt;1,'Technical parameters PROD'!$C$9,1)*'Technical parameters PROD'!$C$11)*'Technical parameters TEMP'!$C$16*(AN9-'Technical parameters PROD'!$C$17)/10^6)</f>
        <v>1.1314347236989393</v>
      </c>
      <c r="AO11" s="76">
        <f>IF($H$9="n/a","n/a",AO10*(IF('Technical parameters PROD'!$C$9&gt;1,'Technical parameters PROD'!$C$9,1)*'Technical parameters PROD'!$C$11)*'Technical parameters TEMP'!$C$16*(AO9-'Technical parameters PROD'!$C$17)/10^6)</f>
        <v>1.1314347236989393</v>
      </c>
      <c r="AP11" s="76">
        <f>IF($H$9="n/a","n/a",AP10*(IF('Technical parameters PROD'!$C$9&gt;1,'Technical parameters PROD'!$C$9,1)*'Technical parameters PROD'!$C$11)*'Technical parameters TEMP'!$C$16*(AP9-'Technical parameters PROD'!$C$17)/10^6)</f>
        <v>1.1314347236989393</v>
      </c>
      <c r="AQ11" s="76">
        <f>IF($H$9="n/a","n/a",AQ10*(IF('Technical parameters PROD'!$C$9&gt;1,'Technical parameters PROD'!$C$9,1)*'Technical parameters PROD'!$C$11)*'Technical parameters TEMP'!$C$16*(AQ9-'Technical parameters PROD'!$C$17)/10^6)</f>
        <v>1.1314347236989393</v>
      </c>
      <c r="AR11" s="76">
        <f>IF($H$9="n/a","n/a",AR10*(IF('Technical parameters PROD'!$C$9&gt;1,'Technical parameters PROD'!$C$9,1)*'Technical parameters PROD'!$C$11)*'Technical parameters TEMP'!$C$16*(AR9-'Technical parameters PROD'!$C$17)/10^6)</f>
        <v>1.1314347236989393</v>
      </c>
      <c r="AS11" s="76">
        <f>IF($H$9="n/a","n/a",AS10*(IF('Technical parameters PROD'!$C$9&gt;1,'Technical parameters PROD'!$C$9,1)*'Technical parameters PROD'!$C$11)*'Technical parameters TEMP'!$C$16*(AS9-'Technical parameters PROD'!$C$17)/10^6)</f>
        <v>1.1314347236989393</v>
      </c>
      <c r="AT11" s="76">
        <f>IF($H$9="n/a","n/a",AT10*(IF('Technical parameters PROD'!$C$9&gt;1,'Technical parameters PROD'!$C$9,1)*'Technical parameters PROD'!$C$11)*'Technical parameters TEMP'!$C$16*(AT9-'Technical parameters PROD'!$C$17)/10^6)</f>
        <v>1.1314347236989393</v>
      </c>
      <c r="AU11" s="76">
        <f>IF($H$9="n/a","n/a",AU10*(IF('Technical parameters PROD'!$C$9&gt;1,'Technical parameters PROD'!$C$9,1)*'Technical parameters PROD'!$C$11)*'Technical parameters TEMP'!$C$16*(AU9-'Technical parameters PROD'!$C$17)/10^6)</f>
        <v>1.1314347236989393</v>
      </c>
      <c r="AV11" s="76">
        <f>IF($H$9="n/a","n/a",AV10*(IF('Technical parameters PROD'!$C$9&gt;1,'Technical parameters PROD'!$C$9,1)*'Technical parameters PROD'!$C$11)*'Technical parameters TEMP'!$C$16*(AV9-'Technical parameters PROD'!$C$17)/10^6)</f>
        <v>1.1314347236989393</v>
      </c>
      <c r="AW11" s="76">
        <f>IF($H$9="n/a","n/a",AW10*(IF('Technical parameters PROD'!$C$9&gt;1,'Technical parameters PROD'!$C$9,1)*'Technical parameters PROD'!$C$11)*'Technical parameters TEMP'!$C$16*(AW9-'Technical parameters PROD'!$C$17)/10^6)</f>
        <v>1.1314347236989393</v>
      </c>
      <c r="AX11" s="76">
        <f>IF($H$9="n/a","n/a",AX10*(IF('Technical parameters PROD'!$C$9&gt;1,'Technical parameters PROD'!$C$9,1)*'Technical parameters PROD'!$C$11)*'Technical parameters TEMP'!$C$16*(AX9-'Technical parameters PROD'!$C$17)/10^6)</f>
        <v>1.1314347236989393</v>
      </c>
      <c r="AY11" s="76">
        <f>IF($H$9="n/a","n/a",AY10*(IF('Technical parameters PROD'!$C$9&gt;1,'Technical parameters PROD'!$C$9,1)*'Technical parameters PROD'!$C$11)*'Technical parameters TEMP'!$C$16*(AY9-'Technical parameters PROD'!$C$17)/10^6)</f>
        <v>1.1314347236989393</v>
      </c>
      <c r="AZ11" s="76">
        <f>IF($H$9="n/a","n/a",AZ10*(IF('Technical parameters PROD'!$C$9&gt;1,'Technical parameters PROD'!$C$9,1)*'Technical parameters PROD'!$C$11)*'Technical parameters TEMP'!$C$16*(AZ9-'Technical parameters PROD'!$C$17)/10^6)</f>
        <v>1.1314347236989393</v>
      </c>
      <c r="BA11" s="76">
        <f>IF($H$9="n/a","n/a",BA10*(IF('Technical parameters PROD'!$C$9&gt;1,'Technical parameters PROD'!$C$9,1)*'Technical parameters PROD'!$C$11)*'Technical parameters TEMP'!$C$16*(BA9-'Technical parameters PROD'!$C$17)/10^6)</f>
        <v>1.1314347236989393</v>
      </c>
      <c r="BB11" s="76">
        <f>IF($H$9="n/a","n/a",BB10*(IF('Technical parameters PROD'!$C$9&gt;1,'Technical parameters PROD'!$C$9,1)*'Technical parameters PROD'!$C$11)*'Technical parameters TEMP'!$C$16*(BB9-'Technical parameters PROD'!$C$17)/10^6)</f>
        <v>1.1314347236989393</v>
      </c>
      <c r="BC11" s="76">
        <f>IF($H$9="n/a","n/a",BC10*(IF('Technical parameters PROD'!$C$9&gt;1,'Technical parameters PROD'!$C$9,1)*'Technical parameters PROD'!$C$11)*'Technical parameters TEMP'!$C$16*(BC9-'Technical parameters PROD'!$C$17)/10^6)</f>
        <v>1.1314347236989393</v>
      </c>
      <c r="BD11" s="76">
        <f>IF($H$9="n/a","n/a",BD10*(IF('Technical parameters PROD'!$C$9&gt;1,'Technical parameters PROD'!$C$9,1)*'Technical parameters PROD'!$C$11)*'Technical parameters TEMP'!$C$16*(BD9-'Technical parameters PROD'!$C$17)/10^6)</f>
        <v>1.1314347236989393</v>
      </c>
      <c r="BE11" s="76">
        <f>IF($H$9="n/a","n/a",BE10*(IF('Technical parameters PROD'!$C$9&gt;1,'Technical parameters PROD'!$C$9,1)*'Technical parameters PROD'!$C$11)*'Technical parameters TEMP'!$C$16*(BE9-'Technical parameters PROD'!$C$17)/10^6)</f>
        <v>1.1314347236989393</v>
      </c>
    </row>
    <row r="12" spans="3:57" ht="15.6" customHeight="1">
      <c r="C12" s="398"/>
      <c r="D12" s="79" t="s">
        <v>141</v>
      </c>
      <c r="E12" s="80"/>
      <c r="F12" s="80"/>
      <c r="G12" s="80"/>
      <c r="H12" s="135">
        <f>IF('Technical parameters TEMP'!$C$28&lt;'Technical parameters TEMP'!C12,"n/a",MIN('Technical parameters TEMP'!C28-273.15,90))</f>
        <v>90</v>
      </c>
      <c r="I12" s="135">
        <f>IF(H12="n/a","n/a",H12*(1-'Technical parameters PROD'!$C$27))</f>
        <v>90</v>
      </c>
      <c r="J12" s="135">
        <f>IF(I12="n/a","n/a",I12*(1-'Technical parameters PROD'!$C$27))</f>
        <v>90</v>
      </c>
      <c r="K12" s="135">
        <f>IF(J12="n/a","n/a",J12*(1-'Technical parameters PROD'!$C$27))</f>
        <v>90</v>
      </c>
      <c r="L12" s="135">
        <f>IF(K12="n/a","n/a",K12*(1-'Technical parameters PROD'!$C$27))</f>
        <v>90</v>
      </c>
      <c r="M12" s="135">
        <f>IF(L12="n/a","n/a",L12*(1-'Technical parameters PROD'!$C$27))</f>
        <v>90</v>
      </c>
      <c r="N12" s="135">
        <f>IF(M12="n/a","n/a",M12*(1-'Technical parameters PROD'!$C$27))</f>
        <v>90</v>
      </c>
      <c r="O12" s="135">
        <f>IF(N12="n/a","n/a",N12*(1-'Technical parameters PROD'!$C$27))</f>
        <v>90</v>
      </c>
      <c r="P12" s="135">
        <f>IF(O12="n/a","n/a",O12*(1-'Technical parameters PROD'!$C$27))</f>
        <v>90</v>
      </c>
      <c r="Q12" s="135">
        <f>IF(P12="n/a","n/a",P12*(1-'Technical parameters PROD'!$C$27))</f>
        <v>90</v>
      </c>
      <c r="R12" s="135">
        <f>IF(Q12="n/a","n/a",Q12*(1-'Technical parameters PROD'!$C$27))</f>
        <v>90</v>
      </c>
      <c r="S12" s="135">
        <f>IF(R12="n/a","n/a",R12*(1-'Technical parameters PROD'!$C$27))</f>
        <v>90</v>
      </c>
      <c r="T12" s="135">
        <f>IF(S12="n/a","n/a",S12*(1-'Technical parameters PROD'!$C$27))</f>
        <v>90</v>
      </c>
      <c r="U12" s="135">
        <f>IF(T12="n/a","n/a",T12*(1-'Technical parameters PROD'!$C$27))</f>
        <v>90</v>
      </c>
      <c r="V12" s="135">
        <f>IF(U12="n/a","n/a",U12*(1-'Technical parameters PROD'!$C$27))</f>
        <v>90</v>
      </c>
      <c r="W12" s="135">
        <f>IF(V12="n/a","n/a",V12*(1-'Technical parameters PROD'!$C$27))</f>
        <v>90</v>
      </c>
      <c r="X12" s="135">
        <f>IF(W12="n/a","n/a",W12*(1-'Technical parameters PROD'!$C$27))</f>
        <v>90</v>
      </c>
      <c r="Y12" s="135">
        <f>IF(X12="n/a","n/a",X12*(1-'Technical parameters PROD'!$C$27))</f>
        <v>90</v>
      </c>
      <c r="Z12" s="135">
        <f>IF(Y12="n/a","n/a",Y12*(1-'Technical parameters PROD'!$C$27))</f>
        <v>90</v>
      </c>
      <c r="AA12" s="135">
        <f>IF(Z12="n/a","n/a",Z12*(1-'Technical parameters PROD'!$C$27))</f>
        <v>90</v>
      </c>
      <c r="AB12" s="135">
        <f>IF(AA12="n/a","n/a",AA12*(1-'Technical parameters PROD'!$C$27))</f>
        <v>90</v>
      </c>
      <c r="AC12" s="135">
        <f>IF(AB12="n/a","n/a",AB12*(1-'Technical parameters PROD'!$C$27))</f>
        <v>90</v>
      </c>
      <c r="AD12" s="135">
        <f>IF(AC12="n/a","n/a",AC12*(1-'Technical parameters PROD'!$C$27))</f>
        <v>90</v>
      </c>
      <c r="AE12" s="135">
        <f>IF(AD12="n/a","n/a",AD12*(1-'Technical parameters PROD'!$C$27))</f>
        <v>90</v>
      </c>
      <c r="AF12" s="135">
        <f>IF(AE12="n/a","n/a",AE12*(1-'Technical parameters PROD'!$C$27))</f>
        <v>90</v>
      </c>
      <c r="AG12" s="135">
        <f>IF(AF12="n/a","n/a",AF12*(1-'Technical parameters PROD'!$C$27))</f>
        <v>90</v>
      </c>
      <c r="AH12" s="135">
        <f>IF(AG12="n/a","n/a",AG12*(1-'Technical parameters PROD'!$C$27))</f>
        <v>90</v>
      </c>
      <c r="AI12" s="135">
        <f>IF(AH12="n/a","n/a",AH12*(1-'Technical parameters PROD'!$C$27))</f>
        <v>90</v>
      </c>
      <c r="AJ12" s="135">
        <f>IF(AI12="n/a","n/a",AI12*(1-'Technical parameters PROD'!$C$27))</f>
        <v>90</v>
      </c>
      <c r="AK12" s="135">
        <f>IF(AJ12="n/a","n/a",AJ12*(1-'Technical parameters PROD'!$C$27))</f>
        <v>90</v>
      </c>
      <c r="AL12" s="135">
        <f>IF(AK12="n/a","n/a",AK12*(1-'Technical parameters PROD'!$C$27))</f>
        <v>90</v>
      </c>
      <c r="AM12" s="135">
        <f>IF(AL12="n/a","n/a",AL12*(1-'Technical parameters PROD'!$C$27))</f>
        <v>90</v>
      </c>
      <c r="AN12" s="135">
        <f>IF(AM12="n/a","n/a",AM12*(1-'Technical parameters PROD'!$C$27))</f>
        <v>90</v>
      </c>
      <c r="AO12" s="135">
        <f>IF(AN12="n/a","n/a",AN12*(1-'Technical parameters PROD'!$C$27))</f>
        <v>90</v>
      </c>
      <c r="AP12" s="135">
        <f>IF(AO12="n/a","n/a",AO12*(1-'Technical parameters PROD'!$C$27))</f>
        <v>90</v>
      </c>
      <c r="AQ12" s="135">
        <f>IF(AP12="n/a","n/a",AP12*(1-'Technical parameters PROD'!$C$27))</f>
        <v>90</v>
      </c>
      <c r="AR12" s="135">
        <f>IF(AQ12="n/a","n/a",AQ12*(1-'Technical parameters PROD'!$C$27))</f>
        <v>90</v>
      </c>
      <c r="AS12" s="135">
        <f>IF(AR12="n/a","n/a",AR12*(1-'Technical parameters PROD'!$C$27))</f>
        <v>90</v>
      </c>
      <c r="AT12" s="135">
        <f>IF(AS12="n/a","n/a",AS12*(1-'Technical parameters PROD'!$C$27))</f>
        <v>90</v>
      </c>
      <c r="AU12" s="135">
        <f>IF(AT12="n/a","n/a",AT12*(1-'Technical parameters PROD'!$C$27))</f>
        <v>90</v>
      </c>
      <c r="AV12" s="135">
        <f>IF(AU12="n/a","n/a",AU12*(1-'Technical parameters PROD'!$C$27))</f>
        <v>90</v>
      </c>
      <c r="AW12" s="135">
        <f>IF(AV12="n/a","n/a",AV12*(1-'Technical parameters PROD'!$C$27))</f>
        <v>90</v>
      </c>
      <c r="AX12" s="135">
        <f>IF(AW12="n/a","n/a",AW12*(1-'Technical parameters PROD'!$C$27))</f>
        <v>90</v>
      </c>
      <c r="AY12" s="135">
        <f>IF(AX12="n/a","n/a",AX12*(1-'Technical parameters PROD'!$C$27))</f>
        <v>90</v>
      </c>
      <c r="AZ12" s="135">
        <f>IF(AY12="n/a","n/a",AY12*(1-'Technical parameters PROD'!$C$27))</f>
        <v>90</v>
      </c>
      <c r="BA12" s="135">
        <f>IF(AZ12="n/a","n/a",AZ12*(1-'Technical parameters PROD'!$C$27))</f>
        <v>90</v>
      </c>
      <c r="BB12" s="135">
        <f>IF(BA12="n/a","n/a",BA12*(1-'Technical parameters PROD'!$C$27))</f>
        <v>90</v>
      </c>
      <c r="BC12" s="135">
        <f>IF(BB12="n/a","n/a",BB12*(1-'Technical parameters PROD'!$C$27))</f>
        <v>90</v>
      </c>
      <c r="BD12" s="135">
        <f>IF(BC12="n/a","n/a",BC12*(1-'Technical parameters PROD'!$C$27))</f>
        <v>90</v>
      </c>
      <c r="BE12" s="135">
        <f>IF(BD12="n/a","n/a",BD12*(1-'Technical parameters PROD'!$C$27))</f>
        <v>90</v>
      </c>
    </row>
    <row r="13" spans="3:57" ht="15.6" customHeight="1">
      <c r="C13" s="398"/>
      <c r="D13" s="79" t="s">
        <v>241</v>
      </c>
      <c r="E13" s="80"/>
      <c r="F13" s="80"/>
      <c r="G13" s="80"/>
      <c r="H13" s="81">
        <f>IF($H$12="n/a","n/a",(IF('Technical parameters PROD'!$C$9&gt;1,'Technical parameters PROD'!$C$9,1)*'Technical parameters PROD'!$C$11)*'Technical parameters TEMP'!$C$16*(H12-'Technical parameters PROD'!$C$25)/10^6)</f>
        <v>17.246924999999997</v>
      </c>
      <c r="I13" s="81">
        <f>IF($H$12="n/a","n/a",(IF('Technical parameters PROD'!$C$9&gt;1,'Technical parameters PROD'!$C$9,1)*'Technical parameters PROD'!$C$11)*'Technical parameters TEMP'!$C$16*(I12-'Technical parameters PROD'!$C$25)/10^6)</f>
        <v>17.246924999999997</v>
      </c>
      <c r="J13" s="81">
        <f>IF($H$12="n/a","n/a",(IF('Technical parameters PROD'!$C$9&gt;1,'Technical parameters PROD'!$C$9,1)*'Technical parameters PROD'!$C$11)*'Technical parameters TEMP'!$C$16*(J12-'Technical parameters PROD'!$C$25)/10^6)</f>
        <v>17.246924999999997</v>
      </c>
      <c r="K13" s="81">
        <f>IF($H$12="n/a","n/a",(IF('Technical parameters PROD'!$C$9&gt;1,'Technical parameters PROD'!$C$9,1)*'Technical parameters PROD'!$C$11)*'Technical parameters TEMP'!$C$16*(K12-'Technical parameters PROD'!$C$25)/10^6)</f>
        <v>17.246924999999997</v>
      </c>
      <c r="L13" s="81">
        <f>IF($H$12="n/a","n/a",(IF('Technical parameters PROD'!$C$9&gt;1,'Technical parameters PROD'!$C$9,1)*'Technical parameters PROD'!$C$11)*'Technical parameters TEMP'!$C$16*(L12-'Technical parameters PROD'!$C$25)/10^6)</f>
        <v>17.246924999999997</v>
      </c>
      <c r="M13" s="81">
        <f>IF($H$12="n/a","n/a",(IF('Technical parameters PROD'!$C$9&gt;1,'Technical parameters PROD'!$C$9,1)*'Technical parameters PROD'!$C$11)*'Technical parameters TEMP'!$C$16*(M12-'Technical parameters PROD'!$C$25)/10^6)</f>
        <v>17.246924999999997</v>
      </c>
      <c r="N13" s="81">
        <f>IF($H$12="n/a","n/a",(IF('Technical parameters PROD'!$C$9&gt;1,'Technical parameters PROD'!$C$9,1)*'Technical parameters PROD'!$C$11)*'Technical parameters TEMP'!$C$16*(N12-'Technical parameters PROD'!$C$25)/10^6)</f>
        <v>17.246924999999997</v>
      </c>
      <c r="O13" s="81">
        <f>IF($H$12="n/a","n/a",(IF('Technical parameters PROD'!$C$9&gt;1,'Technical parameters PROD'!$C$9,1)*'Technical parameters PROD'!$C$11)*'Technical parameters TEMP'!$C$16*(O12-'Technical parameters PROD'!$C$25)/10^6)</f>
        <v>17.246924999999997</v>
      </c>
      <c r="P13" s="81">
        <f>IF($H$12="n/a","n/a",(IF('Technical parameters PROD'!$C$9&gt;1,'Technical parameters PROD'!$C$9,1)*'Technical parameters PROD'!$C$11)*'Technical parameters TEMP'!$C$16*(P12-'Technical parameters PROD'!$C$25)/10^6)</f>
        <v>17.246924999999997</v>
      </c>
      <c r="Q13" s="81">
        <f>IF($H$12="n/a","n/a",(IF('Technical parameters PROD'!$C$9&gt;1,'Technical parameters PROD'!$C$9,1)*'Technical parameters PROD'!$C$11)*'Technical parameters TEMP'!$C$16*(Q12-'Technical parameters PROD'!$C$25)/10^6)</f>
        <v>17.246924999999997</v>
      </c>
      <c r="R13" s="81">
        <f>IF($H$12="n/a","n/a",(IF('Technical parameters PROD'!$C$9&gt;1,'Technical parameters PROD'!$C$9,1)*'Technical parameters PROD'!$C$11)*'Technical parameters TEMP'!$C$16*(R12-'Technical parameters PROD'!$C$25)/10^6)</f>
        <v>17.246924999999997</v>
      </c>
      <c r="S13" s="81">
        <f>IF($H$12="n/a","n/a",(IF('Technical parameters PROD'!$C$9&gt;1,'Technical parameters PROD'!$C$9,1)*'Technical parameters PROD'!$C$11)*'Technical parameters TEMP'!$C$16*(S12-'Technical parameters PROD'!$C$25)/10^6)</f>
        <v>17.246924999999997</v>
      </c>
      <c r="T13" s="81">
        <f>IF($H$12="n/a","n/a",(IF('Technical parameters PROD'!$C$9&gt;1,'Technical parameters PROD'!$C$9,1)*'Technical parameters PROD'!$C$11)*'Technical parameters TEMP'!$C$16*(T12-'Technical parameters PROD'!$C$25)/10^6)</f>
        <v>17.246924999999997</v>
      </c>
      <c r="U13" s="81">
        <f>IF($H$12="n/a","n/a",(IF('Technical parameters PROD'!$C$9&gt;1,'Technical parameters PROD'!$C$9,1)*'Technical parameters PROD'!$C$11)*'Technical parameters TEMP'!$C$16*(U12-'Technical parameters PROD'!$C$25)/10^6)</f>
        <v>17.246924999999997</v>
      </c>
      <c r="V13" s="81">
        <f>IF($H$12="n/a","n/a",(IF('Technical parameters PROD'!$C$9&gt;1,'Technical parameters PROD'!$C$9,1)*'Technical parameters PROD'!$C$11)*'Technical parameters TEMP'!$C$16*(V12-'Technical parameters PROD'!$C$25)/10^6)</f>
        <v>17.246924999999997</v>
      </c>
      <c r="W13" s="81">
        <f>IF($H$12="n/a","n/a",(IF('Technical parameters PROD'!$C$9&gt;1,'Technical parameters PROD'!$C$9,1)*'Technical parameters PROD'!$C$11)*'Technical parameters TEMP'!$C$16*(W12-'Technical parameters PROD'!$C$25)/10^6)</f>
        <v>17.246924999999997</v>
      </c>
      <c r="X13" s="81">
        <f>IF($H$12="n/a","n/a",(IF('Technical parameters PROD'!$C$9&gt;1,'Technical parameters PROD'!$C$9,1)*'Technical parameters PROD'!$C$11)*'Technical parameters TEMP'!$C$16*(X12-'Technical parameters PROD'!$C$25)/10^6)</f>
        <v>17.246924999999997</v>
      </c>
      <c r="Y13" s="81">
        <f>IF($H$12="n/a","n/a",(IF('Technical parameters PROD'!$C$9&gt;1,'Technical parameters PROD'!$C$9,1)*'Technical parameters PROD'!$C$11)*'Technical parameters TEMP'!$C$16*(Y12-'Technical parameters PROD'!$C$25)/10^6)</f>
        <v>17.246924999999997</v>
      </c>
      <c r="Z13" s="81">
        <f>IF($H$12="n/a","n/a",(IF('Technical parameters PROD'!$C$9&gt;1,'Technical parameters PROD'!$C$9,1)*'Technical parameters PROD'!$C$11)*'Technical parameters TEMP'!$C$16*(Z12-'Technical parameters PROD'!$C$25)/10^6)</f>
        <v>17.246924999999997</v>
      </c>
      <c r="AA13" s="81">
        <f>IF($H$12="n/a","n/a",(IF('Technical parameters PROD'!$C$9&gt;1,'Technical parameters PROD'!$C$9,1)*'Technical parameters PROD'!$C$11)*'Technical parameters TEMP'!$C$16*(AA12-'Technical parameters PROD'!$C$25)/10^6)</f>
        <v>17.246924999999997</v>
      </c>
      <c r="AB13" s="81">
        <f>IF($H$12="n/a","n/a",(IF('Technical parameters PROD'!$C$9&gt;1,'Technical parameters PROD'!$C$9,1)*'Technical parameters PROD'!$C$11)*'Technical parameters TEMP'!$C$16*(AB12-'Technical parameters PROD'!$C$25)/10^6)</f>
        <v>17.246924999999997</v>
      </c>
      <c r="AC13" s="81">
        <f>IF($H$12="n/a","n/a",(IF('Technical parameters PROD'!$C$9&gt;1,'Technical parameters PROD'!$C$9,1)*'Technical parameters PROD'!$C$11)*'Technical parameters TEMP'!$C$16*(AC12-'Technical parameters PROD'!$C$25)/10^6)</f>
        <v>17.246924999999997</v>
      </c>
      <c r="AD13" s="81">
        <f>IF($H$12="n/a","n/a",(IF('Technical parameters PROD'!$C$9&gt;1,'Technical parameters PROD'!$C$9,1)*'Technical parameters PROD'!$C$11)*'Technical parameters TEMP'!$C$16*(AD12-'Technical parameters PROD'!$C$25)/10^6)</f>
        <v>17.246924999999997</v>
      </c>
      <c r="AE13" s="81">
        <f>IF($H$12="n/a","n/a",(IF('Technical parameters PROD'!$C$9&gt;1,'Technical parameters PROD'!$C$9,1)*'Technical parameters PROD'!$C$11)*'Technical parameters TEMP'!$C$16*(AE12-'Technical parameters PROD'!$C$25)/10^6)</f>
        <v>17.246924999999997</v>
      </c>
      <c r="AF13" s="81">
        <f>IF($H$12="n/a","n/a",(IF('Technical parameters PROD'!$C$9&gt;1,'Technical parameters PROD'!$C$9,1)*'Technical parameters PROD'!$C$11)*'Technical parameters TEMP'!$C$16*(AF12-'Technical parameters PROD'!$C$25)/10^6)</f>
        <v>17.246924999999997</v>
      </c>
      <c r="AG13" s="81">
        <f>IF($H$12="n/a","n/a",(IF('Technical parameters PROD'!$C$9&gt;1,'Technical parameters PROD'!$C$9,1)*'Technical parameters PROD'!$C$11)*'Technical parameters TEMP'!$C$16*(AG12-'Technical parameters PROD'!$C$25)/10^6)</f>
        <v>17.246924999999997</v>
      </c>
      <c r="AH13" s="81">
        <f>IF($H$12="n/a","n/a",(IF('Technical parameters PROD'!$C$9&gt;1,'Technical parameters PROD'!$C$9,1)*'Technical parameters PROD'!$C$11)*'Technical parameters TEMP'!$C$16*(AH12-'Technical parameters PROD'!$C$25)/10^6)</f>
        <v>17.246924999999997</v>
      </c>
      <c r="AI13" s="81">
        <f>IF($H$12="n/a","n/a",(IF('Technical parameters PROD'!$C$9&gt;1,'Technical parameters PROD'!$C$9,1)*'Technical parameters PROD'!$C$11)*'Technical parameters TEMP'!$C$16*(AI12-'Technical parameters PROD'!$C$25)/10^6)</f>
        <v>17.246924999999997</v>
      </c>
      <c r="AJ13" s="81">
        <f>IF($H$12="n/a","n/a",(IF('Technical parameters PROD'!$C$9&gt;1,'Technical parameters PROD'!$C$9,1)*'Technical parameters PROD'!$C$11)*'Technical parameters TEMP'!$C$16*(AJ12-'Technical parameters PROD'!$C$25)/10^6)</f>
        <v>17.246924999999997</v>
      </c>
      <c r="AK13" s="81">
        <f>IF($H$12="n/a","n/a",(IF('Technical parameters PROD'!$C$9&gt;1,'Technical parameters PROD'!$C$9,1)*'Technical parameters PROD'!$C$11)*'Technical parameters TEMP'!$C$16*(AK12-'Technical parameters PROD'!$C$25)/10^6)</f>
        <v>17.246924999999997</v>
      </c>
      <c r="AL13" s="81">
        <f>IF($H$12="n/a","n/a",(IF('Technical parameters PROD'!$C$9&gt;1,'Technical parameters PROD'!$C$9,1)*'Technical parameters PROD'!$C$11)*'Technical parameters TEMP'!$C$16*(AL12-'Technical parameters PROD'!$C$25)/10^6)</f>
        <v>17.246924999999997</v>
      </c>
      <c r="AM13" s="81">
        <f>IF($H$12="n/a","n/a",(IF('Technical parameters PROD'!$C$9&gt;1,'Technical parameters PROD'!$C$9,1)*'Technical parameters PROD'!$C$11)*'Technical parameters TEMP'!$C$16*(AM12-'Technical parameters PROD'!$C$25)/10^6)</f>
        <v>17.246924999999997</v>
      </c>
      <c r="AN13" s="81">
        <f>IF($H$12="n/a","n/a",(IF('Technical parameters PROD'!$C$9&gt;1,'Technical parameters PROD'!$C$9,1)*'Technical parameters PROD'!$C$11)*'Technical parameters TEMP'!$C$16*(AN12-'Technical parameters PROD'!$C$25)/10^6)</f>
        <v>17.246924999999997</v>
      </c>
      <c r="AO13" s="81">
        <f>IF($H$12="n/a","n/a",(IF('Technical parameters PROD'!$C$9&gt;1,'Technical parameters PROD'!$C$9,1)*'Technical parameters PROD'!$C$11)*'Technical parameters TEMP'!$C$16*(AO12-'Technical parameters PROD'!$C$25)/10^6)</f>
        <v>17.246924999999997</v>
      </c>
      <c r="AP13" s="81">
        <f>IF($H$12="n/a","n/a",(IF('Technical parameters PROD'!$C$9&gt;1,'Technical parameters PROD'!$C$9,1)*'Technical parameters PROD'!$C$11)*'Technical parameters TEMP'!$C$16*(AP12-'Technical parameters PROD'!$C$25)/10^6)</f>
        <v>17.246924999999997</v>
      </c>
      <c r="AQ13" s="81">
        <f>IF($H$12="n/a","n/a",(IF('Technical parameters PROD'!$C$9&gt;1,'Technical parameters PROD'!$C$9,1)*'Technical parameters PROD'!$C$11)*'Technical parameters TEMP'!$C$16*(AQ12-'Technical parameters PROD'!$C$25)/10^6)</f>
        <v>17.246924999999997</v>
      </c>
      <c r="AR13" s="81">
        <f>IF($H$12="n/a","n/a",(IF('Technical parameters PROD'!$C$9&gt;1,'Technical parameters PROD'!$C$9,1)*'Technical parameters PROD'!$C$11)*'Technical parameters TEMP'!$C$16*(AR12-'Technical parameters PROD'!$C$25)/10^6)</f>
        <v>17.246924999999997</v>
      </c>
      <c r="AS13" s="81">
        <f>IF($H$12="n/a","n/a",(IF('Technical parameters PROD'!$C$9&gt;1,'Technical parameters PROD'!$C$9,1)*'Technical parameters PROD'!$C$11)*'Technical parameters TEMP'!$C$16*(AS12-'Technical parameters PROD'!$C$25)/10^6)</f>
        <v>17.246924999999997</v>
      </c>
      <c r="AT13" s="81">
        <f>IF($H$12="n/a","n/a",(IF('Technical parameters PROD'!$C$9&gt;1,'Technical parameters PROD'!$C$9,1)*'Technical parameters PROD'!$C$11)*'Technical parameters TEMP'!$C$16*(AT12-'Technical parameters PROD'!$C$25)/10^6)</f>
        <v>17.246924999999997</v>
      </c>
      <c r="AU13" s="81">
        <f>IF($H$12="n/a","n/a",(IF('Technical parameters PROD'!$C$9&gt;1,'Technical parameters PROD'!$C$9,1)*'Technical parameters PROD'!$C$11)*'Technical parameters TEMP'!$C$16*(AU12-'Technical parameters PROD'!$C$25)/10^6)</f>
        <v>17.246924999999997</v>
      </c>
      <c r="AV13" s="81">
        <f>IF($H$12="n/a","n/a",(IF('Technical parameters PROD'!$C$9&gt;1,'Technical parameters PROD'!$C$9,1)*'Technical parameters PROD'!$C$11)*'Technical parameters TEMP'!$C$16*(AV12-'Technical parameters PROD'!$C$25)/10^6)</f>
        <v>17.246924999999997</v>
      </c>
      <c r="AW13" s="81">
        <f>IF($H$12="n/a","n/a",(IF('Technical parameters PROD'!$C$9&gt;1,'Technical parameters PROD'!$C$9,1)*'Technical parameters PROD'!$C$11)*'Technical parameters TEMP'!$C$16*(AW12-'Technical parameters PROD'!$C$25)/10^6)</f>
        <v>17.246924999999997</v>
      </c>
      <c r="AX13" s="81">
        <f>IF($H$12="n/a","n/a",(IF('Technical parameters PROD'!$C$9&gt;1,'Technical parameters PROD'!$C$9,1)*'Technical parameters PROD'!$C$11)*'Technical parameters TEMP'!$C$16*(AX12-'Technical parameters PROD'!$C$25)/10^6)</f>
        <v>17.246924999999997</v>
      </c>
      <c r="AY13" s="81">
        <f>IF($H$12="n/a","n/a",(IF('Technical parameters PROD'!$C$9&gt;1,'Technical parameters PROD'!$C$9,1)*'Technical parameters PROD'!$C$11)*'Technical parameters TEMP'!$C$16*(AY12-'Technical parameters PROD'!$C$25)/10^6)</f>
        <v>17.246924999999997</v>
      </c>
      <c r="AZ13" s="81">
        <f>IF($H$12="n/a","n/a",(IF('Technical parameters PROD'!$C$9&gt;1,'Technical parameters PROD'!$C$9,1)*'Technical parameters PROD'!$C$11)*'Technical parameters TEMP'!$C$16*(AZ12-'Technical parameters PROD'!$C$25)/10^6)</f>
        <v>17.246924999999997</v>
      </c>
      <c r="BA13" s="81">
        <f>IF($H$12="n/a","n/a",(IF('Technical parameters PROD'!$C$9&gt;1,'Technical parameters PROD'!$C$9,1)*'Technical parameters PROD'!$C$11)*'Technical parameters TEMP'!$C$16*(BA12-'Technical parameters PROD'!$C$25)/10^6)</f>
        <v>17.246924999999997</v>
      </c>
      <c r="BB13" s="81">
        <f>IF($H$12="n/a","n/a",(IF('Technical parameters PROD'!$C$9&gt;1,'Technical parameters PROD'!$C$9,1)*'Technical parameters PROD'!$C$11)*'Technical parameters TEMP'!$C$16*(BB12-'Technical parameters PROD'!$C$25)/10^6)</f>
        <v>17.246924999999997</v>
      </c>
      <c r="BC13" s="81">
        <f>IF($H$12="n/a","n/a",(IF('Technical parameters PROD'!$C$9&gt;1,'Technical parameters PROD'!$C$9,1)*'Technical parameters PROD'!$C$11)*'Technical parameters TEMP'!$C$16*(BC12-'Technical parameters PROD'!$C$25)/10^6)</f>
        <v>17.246924999999997</v>
      </c>
      <c r="BD13" s="81">
        <f>IF($H$12="n/a","n/a",(IF('Technical parameters PROD'!$C$9&gt;1,'Technical parameters PROD'!$C$9,1)*'Technical parameters PROD'!$C$11)*'Technical parameters TEMP'!$C$16*(BD12-'Technical parameters PROD'!$C$25)/10^6)</f>
        <v>17.246924999999997</v>
      </c>
      <c r="BE13" s="81">
        <f>IF($H$12="n/a","n/a",(IF('Technical parameters PROD'!$C$9&gt;1,'Technical parameters PROD'!$C$9,1)*'Technical parameters PROD'!$C$11)*'Technical parameters TEMP'!$C$16*(BE12-'Technical parameters PROD'!$C$25)/10^6)</f>
        <v>17.246924999999997</v>
      </c>
    </row>
    <row r="14" spans="3:57" ht="7.35" customHeight="1">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row>
    <row r="15" spans="3:57">
      <c r="C15" s="399" t="s">
        <v>276</v>
      </c>
      <c r="D15" s="38" t="s">
        <v>143</v>
      </c>
      <c r="E15" s="39"/>
      <c r="F15" s="39"/>
      <c r="G15" s="39"/>
      <c r="H15" s="77">
        <f>IF($H$9="n/a",0,H11*'Economic parameters'!$C$6)</f>
        <v>9051.477789591514</v>
      </c>
      <c r="I15" s="77">
        <f>IF($H$9="n/a",0,I11*'Economic parameters'!$C$6)</f>
        <v>9051.477789591514</v>
      </c>
      <c r="J15" s="77">
        <f>IF($H$9="n/a",0,J11*'Economic parameters'!$C$6)</f>
        <v>9051.477789591514</v>
      </c>
      <c r="K15" s="77">
        <f>IF($H$9="n/a",0,K11*'Economic parameters'!$C$6)</f>
        <v>9051.477789591514</v>
      </c>
      <c r="L15" s="77">
        <f>IF($H$9="n/a",0,L11*'Economic parameters'!$C$6)</f>
        <v>9051.477789591514</v>
      </c>
      <c r="M15" s="77">
        <f>IF($H$9="n/a",0,M11*'Economic parameters'!$C$6)</f>
        <v>9051.477789591514</v>
      </c>
      <c r="N15" s="77">
        <f>IF($H$9="n/a",0,N11*'Economic parameters'!$C$6)</f>
        <v>9051.477789591514</v>
      </c>
      <c r="O15" s="77">
        <f>IF($H$9="n/a",0,O11*'Economic parameters'!$C$6)</f>
        <v>9051.477789591514</v>
      </c>
      <c r="P15" s="77">
        <f>IF($H$9="n/a",0,P11*'Economic parameters'!$C$6)</f>
        <v>9051.477789591514</v>
      </c>
      <c r="Q15" s="77">
        <f>IF($H$9="n/a",0,Q11*'Economic parameters'!$C$6)</f>
        <v>9051.477789591514</v>
      </c>
      <c r="R15" s="77">
        <f>IF($H$9="n/a",0,R11*'Economic parameters'!$C$6)</f>
        <v>9051.477789591514</v>
      </c>
      <c r="S15" s="77">
        <f>IF($H$9="n/a",0,S11*'Economic parameters'!$C$6)</f>
        <v>9051.477789591514</v>
      </c>
      <c r="T15" s="77">
        <f>IF($H$9="n/a",0,T11*'Economic parameters'!$C$6)</f>
        <v>9051.477789591514</v>
      </c>
      <c r="U15" s="77">
        <f>IF($H$9="n/a",0,U11*'Economic parameters'!$C$6)</f>
        <v>9051.477789591514</v>
      </c>
      <c r="V15" s="77">
        <f>IF($H$9="n/a",0,V11*'Economic parameters'!$C$6)</f>
        <v>9051.477789591514</v>
      </c>
      <c r="W15" s="77">
        <f>IF($H$9="n/a",0,W11*'Economic parameters'!$C$6)</f>
        <v>9051.477789591514</v>
      </c>
      <c r="X15" s="77">
        <f>IF($H$9="n/a",0,X11*'Economic parameters'!$C$6)</f>
        <v>9051.477789591514</v>
      </c>
      <c r="Y15" s="77">
        <f>IF($H$9="n/a",0,Y11*'Economic parameters'!$C$6)</f>
        <v>9051.477789591514</v>
      </c>
      <c r="Z15" s="77">
        <f>IF($H$9="n/a",0,Z11*'Economic parameters'!$C$6)</f>
        <v>9051.477789591514</v>
      </c>
      <c r="AA15" s="77">
        <f>IF($H$9="n/a",0,AA11*'Economic parameters'!$C$6)</f>
        <v>9051.477789591514</v>
      </c>
      <c r="AB15" s="77">
        <f>IF($H$9="n/a",0,AB11*'Economic parameters'!$C$6)</f>
        <v>9051.477789591514</v>
      </c>
      <c r="AC15" s="77">
        <f>IF($H$9="n/a",0,AC11*'Economic parameters'!$C$6)</f>
        <v>9051.477789591514</v>
      </c>
      <c r="AD15" s="77">
        <f>IF($H$9="n/a",0,AD11*'Economic parameters'!$C$6)</f>
        <v>9051.477789591514</v>
      </c>
      <c r="AE15" s="77">
        <f>IF($H$9="n/a",0,AE11*'Economic parameters'!$C$6)</f>
        <v>9051.477789591514</v>
      </c>
      <c r="AF15" s="77">
        <f>IF($H$9="n/a",0,AF11*'Economic parameters'!$C$6)</f>
        <v>9051.477789591514</v>
      </c>
      <c r="AG15" s="77">
        <f>IF($H$9="n/a",0,AG11*'Economic parameters'!$C$6)</f>
        <v>9051.477789591514</v>
      </c>
      <c r="AH15" s="77">
        <f>IF($H$9="n/a",0,AH11*'Economic parameters'!$C$6)</f>
        <v>9051.477789591514</v>
      </c>
      <c r="AI15" s="77">
        <f>IF($H$9="n/a",0,AI11*'Economic parameters'!$C$6)</f>
        <v>9051.477789591514</v>
      </c>
      <c r="AJ15" s="77">
        <f>IF($H$9="n/a",0,AJ11*'Economic parameters'!$C$6)</f>
        <v>9051.477789591514</v>
      </c>
      <c r="AK15" s="77">
        <f>IF($H$9="n/a",0,AK11*'Economic parameters'!$C$6)</f>
        <v>9051.477789591514</v>
      </c>
      <c r="AL15" s="77">
        <f>IF($H$9="n/a",0,AL11*'Economic parameters'!$C$6)</f>
        <v>9051.477789591514</v>
      </c>
      <c r="AM15" s="77">
        <f>IF($H$9="n/a",0,AM11*'Economic parameters'!$C$6)</f>
        <v>9051.477789591514</v>
      </c>
      <c r="AN15" s="77">
        <f>IF($H$9="n/a",0,AN11*'Economic parameters'!$C$6)</f>
        <v>9051.477789591514</v>
      </c>
      <c r="AO15" s="77">
        <f>IF($H$9="n/a",0,AO11*'Economic parameters'!$C$6)</f>
        <v>9051.477789591514</v>
      </c>
      <c r="AP15" s="77">
        <f>IF($H$9="n/a",0,AP11*'Economic parameters'!$C$6)</f>
        <v>9051.477789591514</v>
      </c>
      <c r="AQ15" s="77">
        <f>IF($H$9="n/a",0,AQ11*'Economic parameters'!$C$6)</f>
        <v>9051.477789591514</v>
      </c>
      <c r="AR15" s="77">
        <f>IF($H$9="n/a",0,AR11*'Economic parameters'!$C$6)</f>
        <v>9051.477789591514</v>
      </c>
      <c r="AS15" s="77">
        <f>IF($H$9="n/a",0,AS11*'Economic parameters'!$C$6)</f>
        <v>9051.477789591514</v>
      </c>
      <c r="AT15" s="77">
        <f>IF($H$9="n/a",0,AT11*'Economic parameters'!$C$6)</f>
        <v>9051.477789591514</v>
      </c>
      <c r="AU15" s="77">
        <f>IF($H$9="n/a",0,AU11*'Economic parameters'!$C$6)</f>
        <v>9051.477789591514</v>
      </c>
      <c r="AV15" s="77">
        <f>IF($H$9="n/a",0,AV11*'Economic parameters'!$C$6)</f>
        <v>9051.477789591514</v>
      </c>
      <c r="AW15" s="77">
        <f>IF($H$9="n/a",0,AW11*'Economic parameters'!$C$6)</f>
        <v>9051.477789591514</v>
      </c>
      <c r="AX15" s="77">
        <f>IF($H$9="n/a",0,AX11*'Economic parameters'!$C$6)</f>
        <v>9051.477789591514</v>
      </c>
      <c r="AY15" s="77">
        <f>IF($H$9="n/a",0,AY11*'Economic parameters'!$C$6)</f>
        <v>9051.477789591514</v>
      </c>
      <c r="AZ15" s="77">
        <f>IF($H$9="n/a",0,AZ11*'Economic parameters'!$C$6)</f>
        <v>9051.477789591514</v>
      </c>
      <c r="BA15" s="77">
        <f>IF($H$9="n/a",0,BA11*'Economic parameters'!$C$6)</f>
        <v>9051.477789591514</v>
      </c>
      <c r="BB15" s="77">
        <f>IF($H$9="n/a",0,BB11*'Economic parameters'!$C$6)</f>
        <v>9051.477789591514</v>
      </c>
      <c r="BC15" s="77">
        <f>IF($H$9="n/a",0,BC11*'Economic parameters'!$C$6)</f>
        <v>9051.477789591514</v>
      </c>
      <c r="BD15" s="77">
        <f>IF($H$9="n/a",0,BD11*'Economic parameters'!$C$6)</f>
        <v>9051.477789591514</v>
      </c>
      <c r="BE15" s="77">
        <f>IF($H$9="n/a",0,BE11*'Economic parameters'!$C$6)</f>
        <v>9051.477789591514</v>
      </c>
    </row>
    <row r="16" spans="3:57">
      <c r="C16" s="400"/>
      <c r="D16" s="41" t="s">
        <v>144</v>
      </c>
      <c r="E16" s="42"/>
      <c r="F16" s="42"/>
      <c r="G16" s="42"/>
      <c r="H16" s="78">
        <f>IF($H$12="n/a","n/a",H13*'Economic parameters'!$C$7)</f>
        <v>68987.699999999983</v>
      </c>
      <c r="I16" s="78">
        <f>IF($H$12="n/a","n/a",I13*'Economic parameters'!$C$7)</f>
        <v>68987.699999999983</v>
      </c>
      <c r="J16" s="78">
        <f>IF($H$12="n/a","n/a",J13*'Economic parameters'!$C$7)</f>
        <v>68987.699999999983</v>
      </c>
      <c r="K16" s="78">
        <f>IF($H$12="n/a","n/a",K13*'Economic parameters'!$C$7)</f>
        <v>68987.699999999983</v>
      </c>
      <c r="L16" s="78">
        <f>IF($H$12="n/a","n/a",L13*'Economic parameters'!$C$7)</f>
        <v>68987.699999999983</v>
      </c>
      <c r="M16" s="78">
        <f>IF($H$12="n/a","n/a",M13*'Economic parameters'!$C$7)</f>
        <v>68987.699999999983</v>
      </c>
      <c r="N16" s="78">
        <f>IF($H$12="n/a","n/a",N13*'Economic parameters'!$C$7)</f>
        <v>68987.699999999983</v>
      </c>
      <c r="O16" s="78">
        <f>IF($H$12="n/a","n/a",O13*'Economic parameters'!$C$7)</f>
        <v>68987.699999999983</v>
      </c>
      <c r="P16" s="78">
        <f>IF($H$12="n/a","n/a",P13*'Economic parameters'!$C$7)</f>
        <v>68987.699999999983</v>
      </c>
      <c r="Q16" s="78">
        <f>IF($H$12="n/a","n/a",Q13*'Economic parameters'!$C$7)</f>
        <v>68987.699999999983</v>
      </c>
      <c r="R16" s="78">
        <f>IF($H$12="n/a","n/a",R13*'Economic parameters'!$C$7)</f>
        <v>68987.699999999983</v>
      </c>
      <c r="S16" s="78">
        <f>IF($H$12="n/a","n/a",S13*'Economic parameters'!$C$7)</f>
        <v>68987.699999999983</v>
      </c>
      <c r="T16" s="78">
        <f>IF($H$12="n/a","n/a",T13*'Economic parameters'!$C$7)</f>
        <v>68987.699999999983</v>
      </c>
      <c r="U16" s="78">
        <f>IF($H$12="n/a","n/a",U13*'Economic parameters'!$C$7)</f>
        <v>68987.699999999983</v>
      </c>
      <c r="V16" s="78">
        <f>IF($H$12="n/a","n/a",V13*'Economic parameters'!$C$7)</f>
        <v>68987.699999999983</v>
      </c>
      <c r="W16" s="78">
        <f>IF($H$12="n/a","n/a",W13*'Economic parameters'!$C$7)</f>
        <v>68987.699999999983</v>
      </c>
      <c r="X16" s="78">
        <f>IF($H$12="n/a","n/a",X13*'Economic parameters'!$C$7)</f>
        <v>68987.699999999983</v>
      </c>
      <c r="Y16" s="78">
        <f>IF($H$12="n/a","n/a",Y13*'Economic parameters'!$C$7)</f>
        <v>68987.699999999983</v>
      </c>
      <c r="Z16" s="78">
        <f>IF($H$12="n/a","n/a",Z13*'Economic parameters'!$C$7)</f>
        <v>68987.699999999983</v>
      </c>
      <c r="AA16" s="78">
        <f>IF($H$12="n/a","n/a",AA13*'Economic parameters'!$C$7)</f>
        <v>68987.699999999983</v>
      </c>
      <c r="AB16" s="78">
        <f>IF($H$12="n/a","n/a",AB13*'Economic parameters'!$C$7)</f>
        <v>68987.699999999983</v>
      </c>
      <c r="AC16" s="78">
        <f>IF($H$12="n/a","n/a",AC13*'Economic parameters'!$C$7)</f>
        <v>68987.699999999983</v>
      </c>
      <c r="AD16" s="78">
        <f>IF($H$12="n/a","n/a",AD13*'Economic parameters'!$C$7)</f>
        <v>68987.699999999983</v>
      </c>
      <c r="AE16" s="78">
        <f>IF($H$12="n/a","n/a",AE13*'Economic parameters'!$C$7)</f>
        <v>68987.699999999983</v>
      </c>
      <c r="AF16" s="78">
        <f>IF($H$12="n/a","n/a",AF13*'Economic parameters'!$C$7)</f>
        <v>68987.699999999983</v>
      </c>
      <c r="AG16" s="78">
        <f>IF($H$12="n/a","n/a",AG13*'Economic parameters'!$C$7)</f>
        <v>68987.699999999983</v>
      </c>
      <c r="AH16" s="78">
        <f>IF($H$12="n/a","n/a",AH13*'Economic parameters'!$C$7)</f>
        <v>68987.699999999983</v>
      </c>
      <c r="AI16" s="78">
        <f>IF($H$12="n/a","n/a",AI13*'Economic parameters'!$C$7)</f>
        <v>68987.699999999983</v>
      </c>
      <c r="AJ16" s="78">
        <f>IF($H$12="n/a","n/a",AJ13*'Economic parameters'!$C$7)</f>
        <v>68987.699999999983</v>
      </c>
      <c r="AK16" s="78">
        <f>IF($H$12="n/a","n/a",AK13*'Economic parameters'!$C$7)</f>
        <v>68987.699999999983</v>
      </c>
      <c r="AL16" s="78">
        <f>IF($H$12="n/a","n/a",AL13*'Economic parameters'!$C$7)</f>
        <v>68987.699999999983</v>
      </c>
      <c r="AM16" s="78">
        <f>IF($H$12="n/a","n/a",AM13*'Economic parameters'!$C$7)</f>
        <v>68987.699999999983</v>
      </c>
      <c r="AN16" s="78">
        <f>IF($H$12="n/a","n/a",AN13*'Economic parameters'!$C$7)</f>
        <v>68987.699999999983</v>
      </c>
      <c r="AO16" s="78">
        <f>IF($H$12="n/a","n/a",AO13*'Economic parameters'!$C$7)</f>
        <v>68987.699999999983</v>
      </c>
      <c r="AP16" s="78">
        <f>IF($H$12="n/a","n/a",AP13*'Economic parameters'!$C$7)</f>
        <v>68987.699999999983</v>
      </c>
      <c r="AQ16" s="78">
        <f>IF($H$12="n/a","n/a",AQ13*'Economic parameters'!$C$7)</f>
        <v>68987.699999999983</v>
      </c>
      <c r="AR16" s="78">
        <f>IF($H$12="n/a","n/a",AR13*'Economic parameters'!$C$7)</f>
        <v>68987.699999999983</v>
      </c>
      <c r="AS16" s="78">
        <f>IF($H$12="n/a","n/a",AS13*'Economic parameters'!$C$7)</f>
        <v>68987.699999999983</v>
      </c>
      <c r="AT16" s="78">
        <f>IF($H$12="n/a","n/a",AT13*'Economic parameters'!$C$7)</f>
        <v>68987.699999999983</v>
      </c>
      <c r="AU16" s="78">
        <f>IF($H$12="n/a","n/a",AU13*'Economic parameters'!$C$7)</f>
        <v>68987.699999999983</v>
      </c>
      <c r="AV16" s="78">
        <f>IF($H$12="n/a","n/a",AV13*'Economic parameters'!$C$7)</f>
        <v>68987.699999999983</v>
      </c>
      <c r="AW16" s="78">
        <f>IF($H$12="n/a","n/a",AW13*'Economic parameters'!$C$7)</f>
        <v>68987.699999999983</v>
      </c>
      <c r="AX16" s="78">
        <f>IF($H$12="n/a","n/a",AX13*'Economic parameters'!$C$7)</f>
        <v>68987.699999999983</v>
      </c>
      <c r="AY16" s="78">
        <f>IF($H$12="n/a","n/a",AY13*'Economic parameters'!$C$7)</f>
        <v>68987.699999999983</v>
      </c>
      <c r="AZ16" s="78">
        <f>IF($H$12="n/a","n/a",AZ13*'Economic parameters'!$C$7)</f>
        <v>68987.699999999983</v>
      </c>
      <c r="BA16" s="78">
        <f>IF($H$12="n/a","n/a",BA13*'Economic parameters'!$C$7)</f>
        <v>68987.699999999983</v>
      </c>
      <c r="BB16" s="78">
        <f>IF($H$12="n/a","n/a",BB13*'Economic parameters'!$C$7)</f>
        <v>68987.699999999983</v>
      </c>
      <c r="BC16" s="78">
        <f>IF($H$12="n/a","n/a",BC13*'Economic parameters'!$C$7)</f>
        <v>68987.699999999983</v>
      </c>
      <c r="BD16" s="78">
        <f>IF($H$12="n/a","n/a",BD13*'Economic parameters'!$C$7)</f>
        <v>68987.699999999983</v>
      </c>
      <c r="BE16" s="78">
        <f>IF($H$12="n/a","n/a",BE13*'Economic parameters'!$C$7)</f>
        <v>68987.699999999983</v>
      </c>
    </row>
    <row r="17" spans="3:57">
      <c r="C17" s="140"/>
      <c r="D17" s="16" t="s">
        <v>273</v>
      </c>
      <c r="E17" s="17"/>
      <c r="F17" s="17"/>
      <c r="G17" s="17"/>
      <c r="H17" s="141">
        <f>IF(H9="n/a",0,3.6*(H15/1000)/H10)</f>
        <v>217.21551580048779</v>
      </c>
      <c r="I17" s="141">
        <f t="shared" ref="I17:BE17" si="0">IF(I9="n/a",0,3.6*(I15/1000)/I10)</f>
        <v>217.21551580048779</v>
      </c>
      <c r="J17" s="141">
        <f t="shared" si="0"/>
        <v>217.21551580048779</v>
      </c>
      <c r="K17" s="141">
        <f t="shared" si="0"/>
        <v>217.21551580048779</v>
      </c>
      <c r="L17" s="141">
        <f t="shared" si="0"/>
        <v>217.21551580048779</v>
      </c>
      <c r="M17" s="141">
        <f t="shared" si="0"/>
        <v>217.21551580048779</v>
      </c>
      <c r="N17" s="141">
        <f t="shared" si="0"/>
        <v>217.21551580048779</v>
      </c>
      <c r="O17" s="141">
        <f t="shared" si="0"/>
        <v>217.21551580048779</v>
      </c>
      <c r="P17" s="141">
        <f t="shared" si="0"/>
        <v>217.21551580048779</v>
      </c>
      <c r="Q17" s="141">
        <f t="shared" si="0"/>
        <v>217.21551580048779</v>
      </c>
      <c r="R17" s="141">
        <f t="shared" si="0"/>
        <v>217.21551580048779</v>
      </c>
      <c r="S17" s="141">
        <f t="shared" si="0"/>
        <v>217.21551580048779</v>
      </c>
      <c r="T17" s="141">
        <f t="shared" si="0"/>
        <v>217.21551580048779</v>
      </c>
      <c r="U17" s="141">
        <f t="shared" si="0"/>
        <v>217.21551580048779</v>
      </c>
      <c r="V17" s="141">
        <f t="shared" si="0"/>
        <v>217.21551580048779</v>
      </c>
      <c r="W17" s="141">
        <f t="shared" si="0"/>
        <v>217.21551580048779</v>
      </c>
      <c r="X17" s="141">
        <f t="shared" si="0"/>
        <v>217.21551580048779</v>
      </c>
      <c r="Y17" s="141">
        <f t="shared" si="0"/>
        <v>217.21551580048779</v>
      </c>
      <c r="Z17" s="141">
        <f t="shared" si="0"/>
        <v>217.21551580048779</v>
      </c>
      <c r="AA17" s="141">
        <f t="shared" si="0"/>
        <v>217.21551580048779</v>
      </c>
      <c r="AB17" s="141">
        <f t="shared" si="0"/>
        <v>217.21551580048779</v>
      </c>
      <c r="AC17" s="141">
        <f t="shared" si="0"/>
        <v>217.21551580048779</v>
      </c>
      <c r="AD17" s="141">
        <f t="shared" si="0"/>
        <v>217.21551580048779</v>
      </c>
      <c r="AE17" s="141">
        <f t="shared" si="0"/>
        <v>217.21551580048779</v>
      </c>
      <c r="AF17" s="141">
        <f t="shared" si="0"/>
        <v>217.21551580048779</v>
      </c>
      <c r="AG17" s="141">
        <f t="shared" si="0"/>
        <v>217.21551580048779</v>
      </c>
      <c r="AH17" s="141">
        <f t="shared" si="0"/>
        <v>217.21551580048779</v>
      </c>
      <c r="AI17" s="141">
        <f t="shared" si="0"/>
        <v>217.21551580048779</v>
      </c>
      <c r="AJ17" s="141">
        <f t="shared" si="0"/>
        <v>217.21551580048779</v>
      </c>
      <c r="AK17" s="141">
        <f t="shared" si="0"/>
        <v>217.21551580048779</v>
      </c>
      <c r="AL17" s="141">
        <f t="shared" si="0"/>
        <v>217.21551580048779</v>
      </c>
      <c r="AM17" s="141">
        <f t="shared" si="0"/>
        <v>217.21551580048779</v>
      </c>
      <c r="AN17" s="141">
        <f t="shared" si="0"/>
        <v>217.21551580048779</v>
      </c>
      <c r="AO17" s="141">
        <f t="shared" si="0"/>
        <v>217.21551580048779</v>
      </c>
      <c r="AP17" s="141">
        <f t="shared" si="0"/>
        <v>217.21551580048779</v>
      </c>
      <c r="AQ17" s="141">
        <f t="shared" si="0"/>
        <v>217.21551580048779</v>
      </c>
      <c r="AR17" s="141">
        <f t="shared" si="0"/>
        <v>217.21551580048779</v>
      </c>
      <c r="AS17" s="141">
        <f t="shared" si="0"/>
        <v>217.21551580048779</v>
      </c>
      <c r="AT17" s="141">
        <f t="shared" si="0"/>
        <v>217.21551580048779</v>
      </c>
      <c r="AU17" s="141">
        <f t="shared" si="0"/>
        <v>217.21551580048779</v>
      </c>
      <c r="AV17" s="141">
        <f t="shared" si="0"/>
        <v>217.21551580048779</v>
      </c>
      <c r="AW17" s="141">
        <f t="shared" si="0"/>
        <v>217.21551580048779</v>
      </c>
      <c r="AX17" s="141">
        <f t="shared" si="0"/>
        <v>217.21551580048779</v>
      </c>
      <c r="AY17" s="141">
        <f t="shared" si="0"/>
        <v>217.21551580048779</v>
      </c>
      <c r="AZ17" s="141">
        <f t="shared" si="0"/>
        <v>217.21551580048779</v>
      </c>
      <c r="BA17" s="141">
        <f t="shared" si="0"/>
        <v>217.21551580048779</v>
      </c>
      <c r="BB17" s="141">
        <f t="shared" si="0"/>
        <v>217.21551580048779</v>
      </c>
      <c r="BC17" s="141">
        <f t="shared" si="0"/>
        <v>217.21551580048779</v>
      </c>
      <c r="BD17" s="141">
        <f t="shared" si="0"/>
        <v>217.21551580048779</v>
      </c>
      <c r="BE17" s="141">
        <f t="shared" si="0"/>
        <v>217.21551580048779</v>
      </c>
    </row>
    <row r="18" spans="3:57">
      <c r="C18" s="140"/>
      <c r="D18" s="16" t="s">
        <v>275</v>
      </c>
      <c r="E18" s="17"/>
      <c r="F18" s="17"/>
      <c r="G18" s="17"/>
      <c r="H18" s="158">
        <f>'Technical parameters PROD'!$C$11*'Technical parameters TEMP'!$C$16*('Cash-Flow Model'!H12-('Technical parameters TEMP'!$C$12-273.15))*3600*24*365*('Economic parameters'!$C$7/8760)/10^12</f>
        <v>41.392619999999987</v>
      </c>
      <c r="I18" s="158">
        <f>'Technical parameters PROD'!$C$11*'Technical parameters TEMP'!$C$16*('Cash-Flow Model'!I12-('Technical parameters TEMP'!$C$12-273.15))*3600*24*365*('Economic parameters'!$C$7/8760)/10^12</f>
        <v>41.392619999999987</v>
      </c>
      <c r="J18" s="158">
        <f>'Technical parameters PROD'!$C$11*'Technical parameters TEMP'!$C$16*('Cash-Flow Model'!J12-('Technical parameters TEMP'!$C$12-273.15))*3600*24*365*('Economic parameters'!$C$7/8760)/10^12</f>
        <v>41.392619999999987</v>
      </c>
      <c r="K18" s="158">
        <f>'Technical parameters PROD'!$C$11*'Technical parameters TEMP'!$C$16*('Cash-Flow Model'!K12-('Technical parameters TEMP'!$C$12-273.15))*3600*24*365*('Economic parameters'!$C$7/8760)/10^12</f>
        <v>41.392619999999987</v>
      </c>
      <c r="L18" s="158">
        <f>'Technical parameters PROD'!$C$11*'Technical parameters TEMP'!$C$16*('Cash-Flow Model'!L12-('Technical parameters TEMP'!$C$12-273.15))*3600*24*365*('Economic parameters'!$C$7/8760)/10^12</f>
        <v>41.392619999999987</v>
      </c>
      <c r="M18" s="158">
        <f>'Technical parameters PROD'!$C$11*'Technical parameters TEMP'!$C$16*('Cash-Flow Model'!M12-('Technical parameters TEMP'!$C$12-273.15))*3600*24*365*('Economic parameters'!$C$7/8760)/10^12</f>
        <v>41.392619999999987</v>
      </c>
      <c r="N18" s="158">
        <f>'Technical parameters PROD'!$C$11*'Technical parameters TEMP'!$C$16*('Cash-Flow Model'!N12-('Technical parameters TEMP'!$C$12-273.15))*3600*24*365*('Economic parameters'!$C$7/8760)/10^12</f>
        <v>41.392619999999987</v>
      </c>
      <c r="O18" s="158">
        <f>'Technical parameters PROD'!$C$11*'Technical parameters TEMP'!$C$16*('Cash-Flow Model'!O12-('Technical parameters TEMP'!$C$12-273.15))*3600*24*365*('Economic parameters'!$C$7/8760)/10^12</f>
        <v>41.392619999999987</v>
      </c>
      <c r="P18" s="158">
        <f>'Technical parameters PROD'!$C$11*'Technical parameters TEMP'!$C$16*('Cash-Flow Model'!P12-('Technical parameters TEMP'!$C$12-273.15))*3600*24*365*('Economic parameters'!$C$7/8760)/10^12</f>
        <v>41.392619999999987</v>
      </c>
      <c r="Q18" s="158">
        <f>'Technical parameters PROD'!$C$11*'Technical parameters TEMP'!$C$16*('Cash-Flow Model'!Q12-('Technical parameters TEMP'!$C$12-273.15))*3600*24*365*('Economic parameters'!$C$7/8760)/10^12</f>
        <v>41.392619999999987</v>
      </c>
      <c r="R18" s="158">
        <f>'Technical parameters PROD'!$C$11*'Technical parameters TEMP'!$C$16*('Cash-Flow Model'!R12-('Technical parameters TEMP'!$C$12-273.15))*3600*24*365*('Economic parameters'!$C$7/8760)/10^12</f>
        <v>41.392619999999987</v>
      </c>
      <c r="S18" s="158">
        <f>'Technical parameters PROD'!$C$11*'Technical parameters TEMP'!$C$16*('Cash-Flow Model'!S12-('Technical parameters TEMP'!$C$12-273.15))*3600*24*365*('Economic parameters'!$C$7/8760)/10^12</f>
        <v>41.392619999999987</v>
      </c>
      <c r="T18" s="158">
        <f>'Technical parameters PROD'!$C$11*'Technical parameters TEMP'!$C$16*('Cash-Flow Model'!T12-('Technical parameters TEMP'!$C$12-273.15))*3600*24*365*('Economic parameters'!$C$7/8760)/10^12</f>
        <v>41.392619999999987</v>
      </c>
      <c r="U18" s="158">
        <f>'Technical parameters PROD'!$C$11*'Technical parameters TEMP'!$C$16*('Cash-Flow Model'!U12-('Technical parameters TEMP'!$C$12-273.15))*3600*24*365*('Economic parameters'!$C$7/8760)/10^12</f>
        <v>41.392619999999987</v>
      </c>
      <c r="V18" s="158">
        <f>'Technical parameters PROD'!$C$11*'Technical parameters TEMP'!$C$16*('Cash-Flow Model'!V12-('Technical parameters TEMP'!$C$12-273.15))*3600*24*365*('Economic parameters'!$C$7/8760)/10^12</f>
        <v>41.392619999999987</v>
      </c>
      <c r="W18" s="158">
        <f>'Technical parameters PROD'!$C$11*'Technical parameters TEMP'!$C$16*('Cash-Flow Model'!W12-('Technical parameters TEMP'!$C$12-273.15))*3600*24*365*('Economic parameters'!$C$7/8760)/10^12</f>
        <v>41.392619999999987</v>
      </c>
      <c r="X18" s="158">
        <f>'Technical parameters PROD'!$C$11*'Technical parameters TEMP'!$C$16*('Cash-Flow Model'!X12-('Technical parameters TEMP'!$C$12-273.15))*3600*24*365*('Economic parameters'!$C$7/8760)/10^12</f>
        <v>41.392619999999987</v>
      </c>
      <c r="Y18" s="158">
        <f>'Technical parameters PROD'!$C$11*'Technical parameters TEMP'!$C$16*('Cash-Flow Model'!Y12-('Technical parameters TEMP'!$C$12-273.15))*3600*24*365*('Economic parameters'!$C$7/8760)/10^12</f>
        <v>41.392619999999987</v>
      </c>
      <c r="Z18" s="158">
        <f>'Technical parameters PROD'!$C$11*'Technical parameters TEMP'!$C$16*('Cash-Flow Model'!Z12-('Technical parameters TEMP'!$C$12-273.15))*3600*24*365*('Economic parameters'!$C$7/8760)/10^12</f>
        <v>41.392619999999987</v>
      </c>
      <c r="AA18" s="158">
        <f>'Technical parameters PROD'!$C$11*'Technical parameters TEMP'!$C$16*('Cash-Flow Model'!AA12-('Technical parameters TEMP'!$C$12-273.15))*3600*24*365*('Economic parameters'!$C$7/8760)/10^12</f>
        <v>41.392619999999987</v>
      </c>
      <c r="AB18" s="158">
        <f>'Technical parameters PROD'!$C$11*'Technical parameters TEMP'!$C$16*('Cash-Flow Model'!AB12-('Technical parameters TEMP'!$C$12-273.15))*3600*24*365*('Economic parameters'!$C$7/8760)/10^12</f>
        <v>41.392619999999987</v>
      </c>
      <c r="AC18" s="158">
        <f>'Technical parameters PROD'!$C$11*'Technical parameters TEMP'!$C$16*('Cash-Flow Model'!AC12-('Technical parameters TEMP'!$C$12-273.15))*3600*24*365*('Economic parameters'!$C$7/8760)/10^12</f>
        <v>41.392619999999987</v>
      </c>
      <c r="AD18" s="158">
        <f>'Technical parameters PROD'!$C$11*'Technical parameters TEMP'!$C$16*('Cash-Flow Model'!AD12-('Technical parameters TEMP'!$C$12-273.15))*3600*24*365*('Economic parameters'!$C$7/8760)/10^12</f>
        <v>41.392619999999987</v>
      </c>
      <c r="AE18" s="158">
        <f>'Technical parameters PROD'!$C$11*'Technical parameters TEMP'!$C$16*('Cash-Flow Model'!AE12-('Technical parameters TEMP'!$C$12-273.15))*3600*24*365*('Economic parameters'!$C$7/8760)/10^12</f>
        <v>41.392619999999987</v>
      </c>
      <c r="AF18" s="158">
        <f>'Technical parameters PROD'!$C$11*'Technical parameters TEMP'!$C$16*('Cash-Flow Model'!AF12-('Technical parameters TEMP'!$C$12-273.15))*3600*24*365*('Economic parameters'!$C$7/8760)/10^12</f>
        <v>41.392619999999987</v>
      </c>
      <c r="AG18" s="158">
        <f>'Technical parameters PROD'!$C$11*'Technical parameters TEMP'!$C$16*('Cash-Flow Model'!AG12-('Technical parameters TEMP'!$C$12-273.15))*3600*24*365*('Economic parameters'!$C$7/8760)/10^12</f>
        <v>41.392619999999987</v>
      </c>
      <c r="AH18" s="158">
        <f>'Technical parameters PROD'!$C$11*'Technical parameters TEMP'!$C$16*('Cash-Flow Model'!AH12-('Technical parameters TEMP'!$C$12-273.15))*3600*24*365*('Economic parameters'!$C$7/8760)/10^12</f>
        <v>41.392619999999987</v>
      </c>
      <c r="AI18" s="158">
        <f>'Technical parameters PROD'!$C$11*'Technical parameters TEMP'!$C$16*('Cash-Flow Model'!AI12-('Technical parameters TEMP'!$C$12-273.15))*3600*24*365*('Economic parameters'!$C$7/8760)/10^12</f>
        <v>41.392619999999987</v>
      </c>
      <c r="AJ18" s="158">
        <f>'Technical parameters PROD'!$C$11*'Technical parameters TEMP'!$C$16*('Cash-Flow Model'!AJ12-('Technical parameters TEMP'!$C$12-273.15))*3600*24*365*('Economic parameters'!$C$7/8760)/10^12</f>
        <v>41.392619999999987</v>
      </c>
      <c r="AK18" s="158">
        <f>'Technical parameters PROD'!$C$11*'Technical parameters TEMP'!$C$16*('Cash-Flow Model'!AK12-('Technical parameters TEMP'!$C$12-273.15))*3600*24*365*('Economic parameters'!$C$7/8760)/10^12</f>
        <v>41.392619999999987</v>
      </c>
      <c r="AL18" s="158">
        <f>'Technical parameters PROD'!$C$11*'Technical parameters TEMP'!$C$16*('Cash-Flow Model'!AL12-('Technical parameters TEMP'!$C$12-273.15))*3600*24*365*('Economic parameters'!$C$7/8760)/10^12</f>
        <v>41.392619999999987</v>
      </c>
      <c r="AM18" s="158">
        <f>'Technical parameters PROD'!$C$11*'Technical parameters TEMP'!$C$16*('Cash-Flow Model'!AM12-('Technical parameters TEMP'!$C$12-273.15))*3600*24*365*('Economic parameters'!$C$7/8760)/10^12</f>
        <v>41.392619999999987</v>
      </c>
      <c r="AN18" s="158">
        <f>'Technical parameters PROD'!$C$11*'Technical parameters TEMP'!$C$16*('Cash-Flow Model'!AN12-('Technical parameters TEMP'!$C$12-273.15))*3600*24*365*('Economic parameters'!$C$7/8760)/10^12</f>
        <v>41.392619999999987</v>
      </c>
      <c r="AO18" s="158">
        <f>'Technical parameters PROD'!$C$11*'Technical parameters TEMP'!$C$16*('Cash-Flow Model'!AO12-('Technical parameters TEMP'!$C$12-273.15))*3600*24*365*('Economic parameters'!$C$7/8760)/10^12</f>
        <v>41.392619999999987</v>
      </c>
      <c r="AP18" s="158">
        <f>'Technical parameters PROD'!$C$11*'Technical parameters TEMP'!$C$16*('Cash-Flow Model'!AP12-('Technical parameters TEMP'!$C$12-273.15))*3600*24*365*('Economic parameters'!$C$7/8760)/10^12</f>
        <v>41.392619999999987</v>
      </c>
      <c r="AQ18" s="158">
        <f>'Technical parameters PROD'!$C$11*'Technical parameters TEMP'!$C$16*('Cash-Flow Model'!AQ12-('Technical parameters TEMP'!$C$12-273.15))*3600*24*365*('Economic parameters'!$C$7/8760)/10^12</f>
        <v>41.392619999999987</v>
      </c>
      <c r="AR18" s="158">
        <f>'Technical parameters PROD'!$C$11*'Technical parameters TEMP'!$C$16*('Cash-Flow Model'!AR12-('Technical parameters TEMP'!$C$12-273.15))*3600*24*365*('Economic parameters'!$C$7/8760)/10^12</f>
        <v>41.392619999999987</v>
      </c>
      <c r="AS18" s="158">
        <f>'Technical parameters PROD'!$C$11*'Technical parameters TEMP'!$C$16*('Cash-Flow Model'!AS12-('Technical parameters TEMP'!$C$12-273.15))*3600*24*365*('Economic parameters'!$C$7/8760)/10^12</f>
        <v>41.392619999999987</v>
      </c>
      <c r="AT18" s="158">
        <f>'Technical parameters PROD'!$C$11*'Technical parameters TEMP'!$C$16*('Cash-Flow Model'!AT12-('Technical parameters TEMP'!$C$12-273.15))*3600*24*365*('Economic parameters'!$C$7/8760)/10^12</f>
        <v>41.392619999999987</v>
      </c>
      <c r="AU18" s="158">
        <f>'Technical parameters PROD'!$C$11*'Technical parameters TEMP'!$C$16*('Cash-Flow Model'!AU12-('Technical parameters TEMP'!$C$12-273.15))*3600*24*365*('Economic parameters'!$C$7/8760)/10^12</f>
        <v>41.392619999999987</v>
      </c>
      <c r="AV18" s="158">
        <f>'Technical parameters PROD'!$C$11*'Technical parameters TEMP'!$C$16*('Cash-Flow Model'!AV12-('Technical parameters TEMP'!$C$12-273.15))*3600*24*365*('Economic parameters'!$C$7/8760)/10^12</f>
        <v>41.392619999999987</v>
      </c>
      <c r="AW18" s="158">
        <f>'Technical parameters PROD'!$C$11*'Technical parameters TEMP'!$C$16*('Cash-Flow Model'!AW12-('Technical parameters TEMP'!$C$12-273.15))*3600*24*365*('Economic parameters'!$C$7/8760)/10^12</f>
        <v>41.392619999999987</v>
      </c>
      <c r="AX18" s="158">
        <f>'Technical parameters PROD'!$C$11*'Technical parameters TEMP'!$C$16*('Cash-Flow Model'!AX12-('Technical parameters TEMP'!$C$12-273.15))*3600*24*365*('Economic parameters'!$C$7/8760)/10^12</f>
        <v>41.392619999999987</v>
      </c>
      <c r="AY18" s="158">
        <f>'Technical parameters PROD'!$C$11*'Technical parameters TEMP'!$C$16*('Cash-Flow Model'!AY12-('Technical parameters TEMP'!$C$12-273.15))*3600*24*365*('Economic parameters'!$C$7/8760)/10^12</f>
        <v>41.392619999999987</v>
      </c>
      <c r="AZ18" s="158">
        <f>'Technical parameters PROD'!$C$11*'Technical parameters TEMP'!$C$16*('Cash-Flow Model'!AZ12-('Technical parameters TEMP'!$C$12-273.15))*3600*24*365*('Economic parameters'!$C$7/8760)/10^12</f>
        <v>41.392619999999987</v>
      </c>
      <c r="BA18" s="158">
        <f>'Technical parameters PROD'!$C$11*'Technical parameters TEMP'!$C$16*('Cash-Flow Model'!BA12-('Technical parameters TEMP'!$C$12-273.15))*3600*24*365*('Economic parameters'!$C$7/8760)/10^12</f>
        <v>41.392619999999987</v>
      </c>
      <c r="BB18" s="158">
        <f>'Technical parameters PROD'!$C$11*'Technical parameters TEMP'!$C$16*('Cash-Flow Model'!BB12-('Technical parameters TEMP'!$C$12-273.15))*3600*24*365*('Economic parameters'!$C$7/8760)/10^12</f>
        <v>41.392619999999987</v>
      </c>
      <c r="BC18" s="158">
        <f>'Technical parameters PROD'!$C$11*'Technical parameters TEMP'!$C$16*('Cash-Flow Model'!BC12-('Technical parameters TEMP'!$C$12-273.15))*3600*24*365*('Economic parameters'!$C$7/8760)/10^12</f>
        <v>41.392619999999987</v>
      </c>
      <c r="BD18" s="158">
        <f>'Technical parameters PROD'!$C$11*'Technical parameters TEMP'!$C$16*('Cash-Flow Model'!BD12-('Technical parameters TEMP'!$C$12-273.15))*3600*24*365*('Economic parameters'!$C$7/8760)/10^12</f>
        <v>41.392619999999987</v>
      </c>
      <c r="BE18" s="158">
        <f>'Technical parameters PROD'!$C$11*'Technical parameters TEMP'!$C$16*('Cash-Flow Model'!BE12-('Technical parameters TEMP'!$C$12-273.15))*3600*24*365*('Economic parameters'!$C$7/8760)/10^12</f>
        <v>41.392619999999987</v>
      </c>
    </row>
    <row r="19" spans="3:57">
      <c r="C19" s="88"/>
      <c r="D19" s="20" t="s">
        <v>321</v>
      </c>
      <c r="H19" s="142">
        <f>IF(H17="n/a",0,H17/(H17+H18))</f>
        <v>0.83994076647327998</v>
      </c>
      <c r="I19" s="142">
        <f t="shared" ref="I19:BE19" si="1">IF(I17="n/a",0,I17/(I17+I18))</f>
        <v>0.83994076647327998</v>
      </c>
      <c r="J19" s="142">
        <f t="shared" si="1"/>
        <v>0.83994076647327998</v>
      </c>
      <c r="K19" s="142">
        <f t="shared" si="1"/>
        <v>0.83994076647327998</v>
      </c>
      <c r="L19" s="142">
        <f t="shared" si="1"/>
        <v>0.83994076647327998</v>
      </c>
      <c r="M19" s="142">
        <f t="shared" si="1"/>
        <v>0.83994076647327998</v>
      </c>
      <c r="N19" s="142">
        <f t="shared" si="1"/>
        <v>0.83994076647327998</v>
      </c>
      <c r="O19" s="142">
        <f t="shared" si="1"/>
        <v>0.83994076647327998</v>
      </c>
      <c r="P19" s="142">
        <f t="shared" si="1"/>
        <v>0.83994076647327998</v>
      </c>
      <c r="Q19" s="142">
        <f t="shared" si="1"/>
        <v>0.83994076647327998</v>
      </c>
      <c r="R19" s="142">
        <f t="shared" si="1"/>
        <v>0.83994076647327998</v>
      </c>
      <c r="S19" s="142">
        <f t="shared" si="1"/>
        <v>0.83994076647327998</v>
      </c>
      <c r="T19" s="142">
        <f t="shared" si="1"/>
        <v>0.83994076647327998</v>
      </c>
      <c r="U19" s="142">
        <f t="shared" si="1"/>
        <v>0.83994076647327998</v>
      </c>
      <c r="V19" s="142">
        <f t="shared" si="1"/>
        <v>0.83994076647327998</v>
      </c>
      <c r="W19" s="142">
        <f t="shared" si="1"/>
        <v>0.83994076647327998</v>
      </c>
      <c r="X19" s="142">
        <f t="shared" si="1"/>
        <v>0.83994076647327998</v>
      </c>
      <c r="Y19" s="142">
        <f t="shared" si="1"/>
        <v>0.83994076647327998</v>
      </c>
      <c r="Z19" s="142">
        <f t="shared" si="1"/>
        <v>0.83994076647327998</v>
      </c>
      <c r="AA19" s="142">
        <f t="shared" si="1"/>
        <v>0.83994076647327998</v>
      </c>
      <c r="AB19" s="142">
        <f t="shared" si="1"/>
        <v>0.83994076647327998</v>
      </c>
      <c r="AC19" s="142">
        <f t="shared" si="1"/>
        <v>0.83994076647327998</v>
      </c>
      <c r="AD19" s="142">
        <f t="shared" si="1"/>
        <v>0.83994076647327998</v>
      </c>
      <c r="AE19" s="142">
        <f t="shared" si="1"/>
        <v>0.83994076647327998</v>
      </c>
      <c r="AF19" s="142">
        <f t="shared" si="1"/>
        <v>0.83994076647327998</v>
      </c>
      <c r="AG19" s="142">
        <f t="shared" si="1"/>
        <v>0.83994076647327998</v>
      </c>
      <c r="AH19" s="142">
        <f t="shared" si="1"/>
        <v>0.83994076647327998</v>
      </c>
      <c r="AI19" s="142">
        <f t="shared" si="1"/>
        <v>0.83994076647327998</v>
      </c>
      <c r="AJ19" s="142">
        <f t="shared" si="1"/>
        <v>0.83994076647327998</v>
      </c>
      <c r="AK19" s="142">
        <f t="shared" si="1"/>
        <v>0.83994076647327998</v>
      </c>
      <c r="AL19" s="142">
        <f t="shared" si="1"/>
        <v>0.83994076647327998</v>
      </c>
      <c r="AM19" s="142">
        <f t="shared" si="1"/>
        <v>0.83994076647327998</v>
      </c>
      <c r="AN19" s="142">
        <f t="shared" si="1"/>
        <v>0.83994076647327998</v>
      </c>
      <c r="AO19" s="142">
        <f t="shared" si="1"/>
        <v>0.83994076647327998</v>
      </c>
      <c r="AP19" s="142">
        <f t="shared" si="1"/>
        <v>0.83994076647327998</v>
      </c>
      <c r="AQ19" s="142">
        <f t="shared" si="1"/>
        <v>0.83994076647327998</v>
      </c>
      <c r="AR19" s="142">
        <f t="shared" si="1"/>
        <v>0.83994076647327998</v>
      </c>
      <c r="AS19" s="142">
        <f t="shared" si="1"/>
        <v>0.83994076647327998</v>
      </c>
      <c r="AT19" s="142">
        <f t="shared" si="1"/>
        <v>0.83994076647327998</v>
      </c>
      <c r="AU19" s="142">
        <f t="shared" si="1"/>
        <v>0.83994076647327998</v>
      </c>
      <c r="AV19" s="142">
        <f t="shared" si="1"/>
        <v>0.83994076647327998</v>
      </c>
      <c r="AW19" s="142">
        <f t="shared" si="1"/>
        <v>0.83994076647327998</v>
      </c>
      <c r="AX19" s="142">
        <f t="shared" si="1"/>
        <v>0.83994076647327998</v>
      </c>
      <c r="AY19" s="142">
        <f t="shared" si="1"/>
        <v>0.83994076647327998</v>
      </c>
      <c r="AZ19" s="142">
        <f t="shared" si="1"/>
        <v>0.83994076647327998</v>
      </c>
      <c r="BA19" s="142">
        <f t="shared" si="1"/>
        <v>0.83994076647327998</v>
      </c>
      <c r="BB19" s="142">
        <f t="shared" si="1"/>
        <v>0.83994076647327998</v>
      </c>
      <c r="BC19" s="142">
        <f t="shared" si="1"/>
        <v>0.83994076647327998</v>
      </c>
      <c r="BD19" s="142">
        <f t="shared" si="1"/>
        <v>0.83994076647327998</v>
      </c>
      <c r="BE19" s="142">
        <f t="shared" si="1"/>
        <v>0.83994076647327998</v>
      </c>
    </row>
    <row r="20" spans="3:57">
      <c r="C20" s="88"/>
      <c r="D20" s="20" t="s">
        <v>322</v>
      </c>
      <c r="H20" s="142">
        <f>H18/(H18+H17)</f>
        <v>0.16005923352671997</v>
      </c>
      <c r="I20" s="142">
        <f t="shared" ref="I20:BE20" si="2">I18/(I18+I17)</f>
        <v>0.16005923352671997</v>
      </c>
      <c r="J20" s="142">
        <f t="shared" si="2"/>
        <v>0.16005923352671997</v>
      </c>
      <c r="K20" s="142">
        <f t="shared" si="2"/>
        <v>0.16005923352671997</v>
      </c>
      <c r="L20" s="142">
        <f t="shared" si="2"/>
        <v>0.16005923352671997</v>
      </c>
      <c r="M20" s="142">
        <f t="shared" si="2"/>
        <v>0.16005923352671997</v>
      </c>
      <c r="N20" s="142">
        <f t="shared" si="2"/>
        <v>0.16005923352671997</v>
      </c>
      <c r="O20" s="142">
        <f t="shared" si="2"/>
        <v>0.16005923352671997</v>
      </c>
      <c r="P20" s="142">
        <f t="shared" si="2"/>
        <v>0.16005923352671997</v>
      </c>
      <c r="Q20" s="142">
        <f t="shared" si="2"/>
        <v>0.16005923352671997</v>
      </c>
      <c r="R20" s="142">
        <f t="shared" si="2"/>
        <v>0.16005923352671997</v>
      </c>
      <c r="S20" s="142">
        <f t="shared" si="2"/>
        <v>0.16005923352671997</v>
      </c>
      <c r="T20" s="142">
        <f t="shared" si="2"/>
        <v>0.16005923352671997</v>
      </c>
      <c r="U20" s="142">
        <f t="shared" si="2"/>
        <v>0.16005923352671997</v>
      </c>
      <c r="V20" s="142">
        <f t="shared" si="2"/>
        <v>0.16005923352671997</v>
      </c>
      <c r="W20" s="142">
        <f t="shared" si="2"/>
        <v>0.16005923352671997</v>
      </c>
      <c r="X20" s="142">
        <f t="shared" si="2"/>
        <v>0.16005923352671997</v>
      </c>
      <c r="Y20" s="142">
        <f t="shared" si="2"/>
        <v>0.16005923352671997</v>
      </c>
      <c r="Z20" s="142">
        <f t="shared" si="2"/>
        <v>0.16005923352671997</v>
      </c>
      <c r="AA20" s="142">
        <f t="shared" si="2"/>
        <v>0.16005923352671997</v>
      </c>
      <c r="AB20" s="142">
        <f t="shared" si="2"/>
        <v>0.16005923352671997</v>
      </c>
      <c r="AC20" s="142">
        <f t="shared" si="2"/>
        <v>0.16005923352671997</v>
      </c>
      <c r="AD20" s="142">
        <f t="shared" si="2"/>
        <v>0.16005923352671997</v>
      </c>
      <c r="AE20" s="142">
        <f t="shared" si="2"/>
        <v>0.16005923352671997</v>
      </c>
      <c r="AF20" s="142">
        <f t="shared" si="2"/>
        <v>0.16005923352671997</v>
      </c>
      <c r="AG20" s="142">
        <f t="shared" si="2"/>
        <v>0.16005923352671997</v>
      </c>
      <c r="AH20" s="142">
        <f t="shared" si="2"/>
        <v>0.16005923352671997</v>
      </c>
      <c r="AI20" s="142">
        <f t="shared" si="2"/>
        <v>0.16005923352671997</v>
      </c>
      <c r="AJ20" s="142">
        <f t="shared" si="2"/>
        <v>0.16005923352671997</v>
      </c>
      <c r="AK20" s="142">
        <f t="shared" si="2"/>
        <v>0.16005923352671997</v>
      </c>
      <c r="AL20" s="142">
        <f t="shared" si="2"/>
        <v>0.16005923352671997</v>
      </c>
      <c r="AM20" s="142">
        <f t="shared" si="2"/>
        <v>0.16005923352671997</v>
      </c>
      <c r="AN20" s="142">
        <f t="shared" si="2"/>
        <v>0.16005923352671997</v>
      </c>
      <c r="AO20" s="142">
        <f t="shared" si="2"/>
        <v>0.16005923352671997</v>
      </c>
      <c r="AP20" s="142">
        <f t="shared" si="2"/>
        <v>0.16005923352671997</v>
      </c>
      <c r="AQ20" s="142">
        <f t="shared" si="2"/>
        <v>0.16005923352671997</v>
      </c>
      <c r="AR20" s="142">
        <f t="shared" si="2"/>
        <v>0.16005923352671997</v>
      </c>
      <c r="AS20" s="142">
        <f t="shared" si="2"/>
        <v>0.16005923352671997</v>
      </c>
      <c r="AT20" s="142">
        <f t="shared" si="2"/>
        <v>0.16005923352671997</v>
      </c>
      <c r="AU20" s="142">
        <f t="shared" si="2"/>
        <v>0.16005923352671997</v>
      </c>
      <c r="AV20" s="142">
        <f t="shared" si="2"/>
        <v>0.16005923352671997</v>
      </c>
      <c r="AW20" s="142">
        <f t="shared" si="2"/>
        <v>0.16005923352671997</v>
      </c>
      <c r="AX20" s="142">
        <f t="shared" si="2"/>
        <v>0.16005923352671997</v>
      </c>
      <c r="AY20" s="142">
        <f t="shared" si="2"/>
        <v>0.16005923352671997</v>
      </c>
      <c r="AZ20" s="142">
        <f t="shared" si="2"/>
        <v>0.16005923352671997</v>
      </c>
      <c r="BA20" s="142">
        <f t="shared" si="2"/>
        <v>0.16005923352671997</v>
      </c>
      <c r="BB20" s="142">
        <f t="shared" si="2"/>
        <v>0.16005923352671997</v>
      </c>
      <c r="BC20" s="142">
        <f t="shared" si="2"/>
        <v>0.16005923352671997</v>
      </c>
      <c r="BD20" s="142">
        <f t="shared" si="2"/>
        <v>0.16005923352671997</v>
      </c>
      <c r="BE20" s="142">
        <f t="shared" si="2"/>
        <v>0.16005923352671997</v>
      </c>
    </row>
    <row r="21" spans="3:57">
      <c r="C21" s="88"/>
      <c r="D21" s="20"/>
      <c r="H21" s="89"/>
      <c r="I21" s="89"/>
      <c r="J21" s="89"/>
      <c r="K21" s="89"/>
      <c r="L21" s="89"/>
      <c r="M21" s="89"/>
      <c r="N21" s="89"/>
      <c r="O21" s="89"/>
      <c r="P21" s="89"/>
      <c r="Q21" s="89"/>
      <c r="R21" s="89"/>
      <c r="S21" s="89"/>
      <c r="T21" s="89"/>
      <c r="U21" s="89"/>
      <c r="V21" s="89"/>
      <c r="W21" s="89"/>
      <c r="X21" s="89"/>
      <c r="Y21" s="89"/>
      <c r="Z21" s="89"/>
      <c r="AA21" s="89"/>
      <c r="AB21" s="89"/>
      <c r="AC21" s="89"/>
      <c r="AD21" s="89"/>
      <c r="AE21" s="89"/>
      <c r="AF21" s="89"/>
      <c r="AG21" s="89"/>
      <c r="AH21" s="89"/>
      <c r="AI21" s="89"/>
      <c r="AJ21" s="89"/>
      <c r="AK21" s="89"/>
      <c r="AL21" s="89"/>
      <c r="AM21" s="89"/>
      <c r="AN21" s="89"/>
      <c r="AO21" s="89"/>
      <c r="AP21" s="89"/>
      <c r="AQ21" s="89"/>
      <c r="AR21" s="89"/>
      <c r="AS21" s="89"/>
      <c r="AT21" s="89"/>
      <c r="AU21" s="89"/>
      <c r="AV21" s="89"/>
      <c r="AW21" s="89"/>
      <c r="AX21" s="89"/>
      <c r="AY21" s="89"/>
      <c r="AZ21" s="89"/>
      <c r="BA21" s="89"/>
      <c r="BB21" s="89"/>
      <c r="BC21" s="89"/>
      <c r="BD21" s="89"/>
      <c r="BE21" s="89"/>
    </row>
    <row r="22" spans="3:57" ht="7.35" customHeight="1">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row>
    <row r="23" spans="3:57">
      <c r="C23" s="406" t="s">
        <v>147</v>
      </c>
      <c r="D23" s="44" t="s">
        <v>243</v>
      </c>
      <c r="E23" s="45"/>
      <c r="F23" s="45"/>
      <c r="G23" s="45"/>
      <c r="H23" s="45">
        <f>'Economic parameters'!$C$32</f>
        <v>0.25</v>
      </c>
      <c r="I23" s="45">
        <f>'Economic parameters'!$C$32</f>
        <v>0.25</v>
      </c>
      <c r="J23" s="45">
        <f>'Economic parameters'!$C$32</f>
        <v>0.25</v>
      </c>
      <c r="K23" s="45">
        <f>'Economic parameters'!$C$32</f>
        <v>0.25</v>
      </c>
      <c r="L23" s="45">
        <f>'Economic parameters'!$C$32</f>
        <v>0.25</v>
      </c>
      <c r="M23" s="45">
        <f>'Economic parameters'!$C$32</f>
        <v>0.25</v>
      </c>
      <c r="N23" s="45">
        <f>'Economic parameters'!$C$32</f>
        <v>0.25</v>
      </c>
      <c r="O23" s="45">
        <f>'Economic parameters'!$C$32</f>
        <v>0.25</v>
      </c>
      <c r="P23" s="45">
        <f>'Economic parameters'!$C$32</f>
        <v>0.25</v>
      </c>
      <c r="Q23" s="45">
        <f>'Economic parameters'!$C$32</f>
        <v>0.25</v>
      </c>
      <c r="R23" s="45">
        <f>'Economic parameters'!$C$32</f>
        <v>0.25</v>
      </c>
      <c r="S23" s="45">
        <f>'Economic parameters'!$C$32</f>
        <v>0.25</v>
      </c>
      <c r="T23" s="45">
        <f>'Economic parameters'!$C$32</f>
        <v>0.25</v>
      </c>
      <c r="U23" s="45">
        <f>'Economic parameters'!$C$32</f>
        <v>0.25</v>
      </c>
      <c r="V23" s="45">
        <f>'Economic parameters'!$C$32</f>
        <v>0.25</v>
      </c>
      <c r="W23" s="45">
        <f>'Economic parameters'!$C$32</f>
        <v>0.25</v>
      </c>
      <c r="X23" s="45">
        <f>'Economic parameters'!$C$32</f>
        <v>0.25</v>
      </c>
      <c r="Y23" s="45">
        <f>'Economic parameters'!$C$32</f>
        <v>0.25</v>
      </c>
      <c r="Z23" s="45">
        <f>'Economic parameters'!$C$32</f>
        <v>0.25</v>
      </c>
      <c r="AA23" s="45">
        <f>'Economic parameters'!$C$32</f>
        <v>0.25</v>
      </c>
      <c r="AB23" s="45">
        <f>'Economic parameters'!$C$32</f>
        <v>0.25</v>
      </c>
      <c r="AC23" s="45">
        <f>'Economic parameters'!$C$32</f>
        <v>0.25</v>
      </c>
      <c r="AD23" s="45">
        <f>'Economic parameters'!$C$32</f>
        <v>0.25</v>
      </c>
      <c r="AE23" s="45">
        <f>'Economic parameters'!$C$32</f>
        <v>0.25</v>
      </c>
      <c r="AF23" s="45">
        <f>'Economic parameters'!$C$32</f>
        <v>0.25</v>
      </c>
      <c r="AG23" s="45">
        <f>'Economic parameters'!$C$32</f>
        <v>0.25</v>
      </c>
      <c r="AH23" s="45">
        <f>'Economic parameters'!$C$32</f>
        <v>0.25</v>
      </c>
      <c r="AI23" s="45">
        <f>'Economic parameters'!$C$32</f>
        <v>0.25</v>
      </c>
      <c r="AJ23" s="45">
        <f>'Economic parameters'!$C$32</f>
        <v>0.25</v>
      </c>
      <c r="AK23" s="45">
        <f>'Economic parameters'!$C$32</f>
        <v>0.25</v>
      </c>
      <c r="AL23" s="45">
        <f>'Economic parameters'!$C$32</f>
        <v>0.25</v>
      </c>
      <c r="AM23" s="45">
        <f>'Economic parameters'!$C$32</f>
        <v>0.25</v>
      </c>
      <c r="AN23" s="45">
        <f>'Economic parameters'!$C$32</f>
        <v>0.25</v>
      </c>
      <c r="AO23" s="45">
        <f>'Economic parameters'!$C$32</f>
        <v>0.25</v>
      </c>
      <c r="AP23" s="45">
        <f>'Economic parameters'!$C$32</f>
        <v>0.25</v>
      </c>
      <c r="AQ23" s="45">
        <f>'Economic parameters'!$C$32</f>
        <v>0.25</v>
      </c>
      <c r="AR23" s="45">
        <f>'Economic parameters'!$C$32</f>
        <v>0.25</v>
      </c>
      <c r="AS23" s="45">
        <f>'Economic parameters'!$C$32</f>
        <v>0.25</v>
      </c>
      <c r="AT23" s="45">
        <f>'Economic parameters'!$C$32</f>
        <v>0.25</v>
      </c>
      <c r="AU23" s="45">
        <f>'Economic parameters'!$C$32</f>
        <v>0.25</v>
      </c>
      <c r="AV23" s="45">
        <f>'Economic parameters'!$C$32</f>
        <v>0.25</v>
      </c>
      <c r="AW23" s="45">
        <f>'Economic parameters'!$C$32</f>
        <v>0.25</v>
      </c>
      <c r="AX23" s="45">
        <f>'Economic parameters'!$C$32</f>
        <v>0.25</v>
      </c>
      <c r="AY23" s="45">
        <f>'Economic parameters'!$C$32</f>
        <v>0.25</v>
      </c>
      <c r="AZ23" s="45">
        <f>'Economic parameters'!$C$32</f>
        <v>0.25</v>
      </c>
      <c r="BA23" s="45">
        <f>'Economic parameters'!$C$32</f>
        <v>0.25</v>
      </c>
      <c r="BB23" s="45">
        <f>'Economic parameters'!$C$32</f>
        <v>0.25</v>
      </c>
      <c r="BC23" s="45">
        <f>'Economic parameters'!$C$32</f>
        <v>0.25</v>
      </c>
      <c r="BD23" s="45">
        <f>'Economic parameters'!$C$32</f>
        <v>0.25</v>
      </c>
      <c r="BE23" s="45">
        <f>'Economic parameters'!$C$32</f>
        <v>0.25</v>
      </c>
    </row>
    <row r="24" spans="3:57" ht="14.7" customHeight="1">
      <c r="C24" s="406"/>
      <c r="D24" s="44" t="s">
        <v>145</v>
      </c>
      <c r="E24" s="45"/>
      <c r="F24" s="45"/>
      <c r="G24" s="45"/>
      <c r="H24" s="46">
        <f>IF(H15="n/a","n/a",H15*1000*H23)</f>
        <v>2262869.4473978784</v>
      </c>
      <c r="I24" s="46">
        <f t="shared" ref="I24:AK24" si="3">IF(I15="n/a","n/a",I15*1000*I23)</f>
        <v>2262869.4473978784</v>
      </c>
      <c r="J24" s="46">
        <f t="shared" si="3"/>
        <v>2262869.4473978784</v>
      </c>
      <c r="K24" s="46">
        <f t="shared" si="3"/>
        <v>2262869.4473978784</v>
      </c>
      <c r="L24" s="46">
        <f t="shared" si="3"/>
        <v>2262869.4473978784</v>
      </c>
      <c r="M24" s="46">
        <f t="shared" si="3"/>
        <v>2262869.4473978784</v>
      </c>
      <c r="N24" s="46">
        <f t="shared" si="3"/>
        <v>2262869.4473978784</v>
      </c>
      <c r="O24" s="46">
        <f t="shared" si="3"/>
        <v>2262869.4473978784</v>
      </c>
      <c r="P24" s="46">
        <f t="shared" si="3"/>
        <v>2262869.4473978784</v>
      </c>
      <c r="Q24" s="46">
        <f t="shared" si="3"/>
        <v>2262869.4473978784</v>
      </c>
      <c r="R24" s="46">
        <f t="shared" si="3"/>
        <v>2262869.4473978784</v>
      </c>
      <c r="S24" s="46">
        <f t="shared" si="3"/>
        <v>2262869.4473978784</v>
      </c>
      <c r="T24" s="46">
        <f t="shared" si="3"/>
        <v>2262869.4473978784</v>
      </c>
      <c r="U24" s="46">
        <f t="shared" si="3"/>
        <v>2262869.4473978784</v>
      </c>
      <c r="V24" s="46">
        <f t="shared" si="3"/>
        <v>2262869.4473978784</v>
      </c>
      <c r="W24" s="46">
        <f t="shared" si="3"/>
        <v>2262869.4473978784</v>
      </c>
      <c r="X24" s="46">
        <f t="shared" si="3"/>
        <v>2262869.4473978784</v>
      </c>
      <c r="Y24" s="46">
        <f t="shared" si="3"/>
        <v>2262869.4473978784</v>
      </c>
      <c r="Z24" s="46">
        <f t="shared" si="3"/>
        <v>2262869.4473978784</v>
      </c>
      <c r="AA24" s="46">
        <f t="shared" si="3"/>
        <v>2262869.4473978784</v>
      </c>
      <c r="AB24" s="46">
        <f t="shared" si="3"/>
        <v>2262869.4473978784</v>
      </c>
      <c r="AC24" s="46">
        <f t="shared" si="3"/>
        <v>2262869.4473978784</v>
      </c>
      <c r="AD24" s="46">
        <f t="shared" si="3"/>
        <v>2262869.4473978784</v>
      </c>
      <c r="AE24" s="46">
        <f t="shared" si="3"/>
        <v>2262869.4473978784</v>
      </c>
      <c r="AF24" s="46">
        <f t="shared" si="3"/>
        <v>2262869.4473978784</v>
      </c>
      <c r="AG24" s="46">
        <f t="shared" si="3"/>
        <v>2262869.4473978784</v>
      </c>
      <c r="AH24" s="46">
        <f t="shared" si="3"/>
        <v>2262869.4473978784</v>
      </c>
      <c r="AI24" s="46">
        <f t="shared" si="3"/>
        <v>2262869.4473978784</v>
      </c>
      <c r="AJ24" s="46">
        <f t="shared" si="3"/>
        <v>2262869.4473978784</v>
      </c>
      <c r="AK24" s="46">
        <f t="shared" si="3"/>
        <v>2262869.4473978784</v>
      </c>
      <c r="AL24" s="46">
        <f t="shared" ref="AL24:BE24" si="4">IF(AL15="n/a","n/a",AL15*1000*AL23)</f>
        <v>2262869.4473978784</v>
      </c>
      <c r="AM24" s="46">
        <f t="shared" si="4"/>
        <v>2262869.4473978784</v>
      </c>
      <c r="AN24" s="46">
        <f t="shared" si="4"/>
        <v>2262869.4473978784</v>
      </c>
      <c r="AO24" s="46">
        <f t="shared" si="4"/>
        <v>2262869.4473978784</v>
      </c>
      <c r="AP24" s="46">
        <f t="shared" si="4"/>
        <v>2262869.4473978784</v>
      </c>
      <c r="AQ24" s="46">
        <f t="shared" si="4"/>
        <v>2262869.4473978784</v>
      </c>
      <c r="AR24" s="46">
        <f t="shared" si="4"/>
        <v>2262869.4473978784</v>
      </c>
      <c r="AS24" s="46">
        <f t="shared" si="4"/>
        <v>2262869.4473978784</v>
      </c>
      <c r="AT24" s="46">
        <f t="shared" si="4"/>
        <v>2262869.4473978784</v>
      </c>
      <c r="AU24" s="46">
        <f t="shared" si="4"/>
        <v>2262869.4473978784</v>
      </c>
      <c r="AV24" s="46">
        <f t="shared" si="4"/>
        <v>2262869.4473978784</v>
      </c>
      <c r="AW24" s="46">
        <f t="shared" si="4"/>
        <v>2262869.4473978784</v>
      </c>
      <c r="AX24" s="46">
        <f t="shared" si="4"/>
        <v>2262869.4473978784</v>
      </c>
      <c r="AY24" s="46">
        <f t="shared" si="4"/>
        <v>2262869.4473978784</v>
      </c>
      <c r="AZ24" s="46">
        <f t="shared" si="4"/>
        <v>2262869.4473978784</v>
      </c>
      <c r="BA24" s="46">
        <f t="shared" si="4"/>
        <v>2262869.4473978784</v>
      </c>
      <c r="BB24" s="46">
        <f t="shared" si="4"/>
        <v>2262869.4473978784</v>
      </c>
      <c r="BC24" s="46">
        <f t="shared" si="4"/>
        <v>2262869.4473978784</v>
      </c>
      <c r="BD24" s="46">
        <f t="shared" si="4"/>
        <v>2262869.4473978784</v>
      </c>
      <c r="BE24" s="46">
        <f t="shared" si="4"/>
        <v>2262869.4473978784</v>
      </c>
    </row>
    <row r="25" spans="3:57" ht="14.7" customHeight="1">
      <c r="C25" s="406"/>
      <c r="D25" s="44" t="s">
        <v>242</v>
      </c>
      <c r="E25" s="45"/>
      <c r="F25" s="45"/>
      <c r="G25" s="45"/>
      <c r="H25" s="124">
        <f>('Economic parameters'!$C$34)/100</f>
        <v>0.10079919360645113</v>
      </c>
      <c r="I25" s="124">
        <f>('Economic parameters'!$C$34)/100</f>
        <v>0.10079919360645113</v>
      </c>
      <c r="J25" s="124">
        <f>('Economic parameters'!$C$34)/100</f>
        <v>0.10079919360645113</v>
      </c>
      <c r="K25" s="124">
        <f>('Economic parameters'!$C$34)/100</f>
        <v>0.10079919360645113</v>
      </c>
      <c r="L25" s="124">
        <f>('Economic parameters'!$C$34)/100</f>
        <v>0.10079919360645113</v>
      </c>
      <c r="M25" s="124">
        <f>('Economic parameters'!$C$34)/100</f>
        <v>0.10079919360645113</v>
      </c>
      <c r="N25" s="124">
        <f>('Economic parameters'!$C$34)/100</f>
        <v>0.10079919360645113</v>
      </c>
      <c r="O25" s="124">
        <f>('Economic parameters'!$C$34)/100</f>
        <v>0.10079919360645113</v>
      </c>
      <c r="P25" s="124">
        <f>('Economic parameters'!$C$34)/100</f>
        <v>0.10079919360645113</v>
      </c>
      <c r="Q25" s="124">
        <f>('Economic parameters'!$C$34)/100</f>
        <v>0.10079919360645113</v>
      </c>
      <c r="R25" s="124">
        <f>('Economic parameters'!$C$34)/100</f>
        <v>0.10079919360645113</v>
      </c>
      <c r="S25" s="124">
        <f>('Economic parameters'!$C$34)/100</f>
        <v>0.10079919360645113</v>
      </c>
      <c r="T25" s="124">
        <f>('Economic parameters'!$C$34)/100</f>
        <v>0.10079919360645113</v>
      </c>
      <c r="U25" s="124">
        <f>('Economic parameters'!$C$34)/100</f>
        <v>0.10079919360645113</v>
      </c>
      <c r="V25" s="124">
        <f>('Economic parameters'!$C$34)/100</f>
        <v>0.10079919360645113</v>
      </c>
      <c r="W25" s="124">
        <f>('Economic parameters'!$C$34)/100</f>
        <v>0.10079919360645113</v>
      </c>
      <c r="X25" s="124">
        <f>('Economic parameters'!$C$34)/100</f>
        <v>0.10079919360645113</v>
      </c>
      <c r="Y25" s="124">
        <f>('Economic parameters'!$C$34)/100</f>
        <v>0.10079919360645113</v>
      </c>
      <c r="Z25" s="124">
        <f>('Economic parameters'!$C$34)/100</f>
        <v>0.10079919360645113</v>
      </c>
      <c r="AA25" s="124">
        <f>('Economic parameters'!$C$34)/100</f>
        <v>0.10079919360645113</v>
      </c>
      <c r="AB25" s="124">
        <f>('Economic parameters'!$C$34)/100</f>
        <v>0.10079919360645113</v>
      </c>
      <c r="AC25" s="124">
        <f>('Economic parameters'!$C$34)/100</f>
        <v>0.10079919360645113</v>
      </c>
      <c r="AD25" s="124">
        <f>('Economic parameters'!$C$34)/100</f>
        <v>0.10079919360645113</v>
      </c>
      <c r="AE25" s="124">
        <f>('Economic parameters'!$C$34)/100</f>
        <v>0.10079919360645113</v>
      </c>
      <c r="AF25" s="124">
        <f>('Economic parameters'!$C$34)/100</f>
        <v>0.10079919360645113</v>
      </c>
      <c r="AG25" s="124">
        <f>('Economic parameters'!$C$34)/100</f>
        <v>0.10079919360645113</v>
      </c>
      <c r="AH25" s="124">
        <f>('Economic parameters'!$C$34)/100</f>
        <v>0.10079919360645113</v>
      </c>
      <c r="AI25" s="124">
        <f>('Economic parameters'!$C$34)/100</f>
        <v>0.10079919360645113</v>
      </c>
      <c r="AJ25" s="124">
        <f>('Economic parameters'!$C$34)/100</f>
        <v>0.10079919360645113</v>
      </c>
      <c r="AK25" s="124">
        <f>('Economic parameters'!$C$34)/100</f>
        <v>0.10079919360645113</v>
      </c>
      <c r="AL25" s="124">
        <f>('Economic parameters'!$C$34)/100</f>
        <v>0.10079919360645113</v>
      </c>
      <c r="AM25" s="124">
        <f>('Economic parameters'!$C$34)/100</f>
        <v>0.10079919360645113</v>
      </c>
      <c r="AN25" s="124">
        <f>('Economic parameters'!$C$34)/100</f>
        <v>0.10079919360645113</v>
      </c>
      <c r="AO25" s="124">
        <f>('Economic parameters'!$C$34)/100</f>
        <v>0.10079919360645113</v>
      </c>
      <c r="AP25" s="124">
        <f>('Economic parameters'!$C$34)/100</f>
        <v>0.10079919360645113</v>
      </c>
      <c r="AQ25" s="124">
        <f>('Economic parameters'!$C$34)/100</f>
        <v>0.10079919360645113</v>
      </c>
      <c r="AR25" s="124">
        <f>('Economic parameters'!$C$34)/100</f>
        <v>0.10079919360645113</v>
      </c>
      <c r="AS25" s="124">
        <f>('Economic parameters'!$C$34)/100</f>
        <v>0.10079919360645113</v>
      </c>
      <c r="AT25" s="124">
        <f>('Economic parameters'!$C$34)/100</f>
        <v>0.10079919360645113</v>
      </c>
      <c r="AU25" s="124">
        <f>('Economic parameters'!$C$34)/100</f>
        <v>0.10079919360645113</v>
      </c>
      <c r="AV25" s="124">
        <f>('Economic parameters'!$C$34)/100</f>
        <v>0.10079919360645113</v>
      </c>
      <c r="AW25" s="124">
        <f>('Economic parameters'!$C$34)/100</f>
        <v>0.10079919360645113</v>
      </c>
      <c r="AX25" s="124">
        <f>('Economic parameters'!$C$34)/100</f>
        <v>0.10079919360645113</v>
      </c>
      <c r="AY25" s="124">
        <f>('Economic parameters'!$C$34)/100</f>
        <v>0.10079919360645113</v>
      </c>
      <c r="AZ25" s="124">
        <f>('Economic parameters'!$C$34)/100</f>
        <v>0.10079919360645113</v>
      </c>
      <c r="BA25" s="124">
        <f>('Economic parameters'!$C$34)/100</f>
        <v>0.10079919360645113</v>
      </c>
      <c r="BB25" s="124">
        <f>('Economic parameters'!$C$34)/100</f>
        <v>0.10079919360645113</v>
      </c>
      <c r="BC25" s="124">
        <f>('Economic parameters'!$C$34)/100</f>
        <v>0.10079919360645113</v>
      </c>
      <c r="BD25" s="124">
        <f>('Economic parameters'!$C$34)/100</f>
        <v>0.10079919360645113</v>
      </c>
      <c r="BE25" s="124">
        <f>('Economic parameters'!$C$34)/100</f>
        <v>0.10079919360645113</v>
      </c>
    </row>
    <row r="26" spans="3:57" ht="14.7" customHeight="1">
      <c r="C26" s="406"/>
      <c r="D26" s="44" t="s">
        <v>146</v>
      </c>
      <c r="E26" s="45"/>
      <c r="F26" s="45"/>
      <c r="G26" s="45"/>
      <c r="H26" s="46">
        <f>IF(H16="n/a","n/a",H16*1000*H25)</f>
        <v>6953904.5287637673</v>
      </c>
      <c r="I26" s="46">
        <f t="shared" ref="I26:AK26" si="5">IF(I16="n/a","n/a",I16*1000*I25)</f>
        <v>6953904.5287637673</v>
      </c>
      <c r="J26" s="46">
        <f t="shared" si="5"/>
        <v>6953904.5287637673</v>
      </c>
      <c r="K26" s="46">
        <f t="shared" si="5"/>
        <v>6953904.5287637673</v>
      </c>
      <c r="L26" s="46">
        <f t="shared" si="5"/>
        <v>6953904.5287637673</v>
      </c>
      <c r="M26" s="46">
        <f t="shared" si="5"/>
        <v>6953904.5287637673</v>
      </c>
      <c r="N26" s="46">
        <f t="shared" si="5"/>
        <v>6953904.5287637673</v>
      </c>
      <c r="O26" s="46">
        <f t="shared" si="5"/>
        <v>6953904.5287637673</v>
      </c>
      <c r="P26" s="46">
        <f t="shared" si="5"/>
        <v>6953904.5287637673</v>
      </c>
      <c r="Q26" s="46">
        <f t="shared" si="5"/>
        <v>6953904.5287637673</v>
      </c>
      <c r="R26" s="46">
        <f t="shared" si="5"/>
        <v>6953904.5287637673</v>
      </c>
      <c r="S26" s="46">
        <f t="shared" si="5"/>
        <v>6953904.5287637673</v>
      </c>
      <c r="T26" s="46">
        <f t="shared" si="5"/>
        <v>6953904.5287637673</v>
      </c>
      <c r="U26" s="46">
        <f t="shared" si="5"/>
        <v>6953904.5287637673</v>
      </c>
      <c r="V26" s="46">
        <f t="shared" si="5"/>
        <v>6953904.5287637673</v>
      </c>
      <c r="W26" s="46">
        <f t="shared" si="5"/>
        <v>6953904.5287637673</v>
      </c>
      <c r="X26" s="46">
        <f t="shared" si="5"/>
        <v>6953904.5287637673</v>
      </c>
      <c r="Y26" s="46">
        <f t="shared" si="5"/>
        <v>6953904.5287637673</v>
      </c>
      <c r="Z26" s="46">
        <f t="shared" si="5"/>
        <v>6953904.5287637673</v>
      </c>
      <c r="AA26" s="46">
        <f t="shared" si="5"/>
        <v>6953904.5287637673</v>
      </c>
      <c r="AB26" s="46">
        <f t="shared" si="5"/>
        <v>6953904.5287637673</v>
      </c>
      <c r="AC26" s="46">
        <f t="shared" si="5"/>
        <v>6953904.5287637673</v>
      </c>
      <c r="AD26" s="46">
        <f t="shared" si="5"/>
        <v>6953904.5287637673</v>
      </c>
      <c r="AE26" s="46">
        <f t="shared" si="5"/>
        <v>6953904.5287637673</v>
      </c>
      <c r="AF26" s="46">
        <f t="shared" si="5"/>
        <v>6953904.5287637673</v>
      </c>
      <c r="AG26" s="46">
        <f t="shared" si="5"/>
        <v>6953904.5287637673</v>
      </c>
      <c r="AH26" s="46">
        <f t="shared" si="5"/>
        <v>6953904.5287637673</v>
      </c>
      <c r="AI26" s="46">
        <f t="shared" si="5"/>
        <v>6953904.5287637673</v>
      </c>
      <c r="AJ26" s="46">
        <f t="shared" si="5"/>
        <v>6953904.5287637673</v>
      </c>
      <c r="AK26" s="46">
        <f t="shared" si="5"/>
        <v>6953904.5287637673</v>
      </c>
      <c r="AL26" s="46">
        <f t="shared" ref="AL26:BE26" si="6">IF(AL16="n/a","n/a",AL16*1000*AL25)</f>
        <v>6953904.5287637673</v>
      </c>
      <c r="AM26" s="46">
        <f t="shared" si="6"/>
        <v>6953904.5287637673</v>
      </c>
      <c r="AN26" s="46">
        <f t="shared" si="6"/>
        <v>6953904.5287637673</v>
      </c>
      <c r="AO26" s="46">
        <f t="shared" si="6"/>
        <v>6953904.5287637673</v>
      </c>
      <c r="AP26" s="46">
        <f t="shared" si="6"/>
        <v>6953904.5287637673</v>
      </c>
      <c r="AQ26" s="46">
        <f t="shared" si="6"/>
        <v>6953904.5287637673</v>
      </c>
      <c r="AR26" s="46">
        <f t="shared" si="6"/>
        <v>6953904.5287637673</v>
      </c>
      <c r="AS26" s="46">
        <f t="shared" si="6"/>
        <v>6953904.5287637673</v>
      </c>
      <c r="AT26" s="46">
        <f t="shared" si="6"/>
        <v>6953904.5287637673</v>
      </c>
      <c r="AU26" s="46">
        <f t="shared" si="6"/>
        <v>6953904.5287637673</v>
      </c>
      <c r="AV26" s="46">
        <f t="shared" si="6"/>
        <v>6953904.5287637673</v>
      </c>
      <c r="AW26" s="46">
        <f t="shared" si="6"/>
        <v>6953904.5287637673</v>
      </c>
      <c r="AX26" s="46">
        <f t="shared" si="6"/>
        <v>6953904.5287637673</v>
      </c>
      <c r="AY26" s="46">
        <f t="shared" si="6"/>
        <v>6953904.5287637673</v>
      </c>
      <c r="AZ26" s="46">
        <f t="shared" si="6"/>
        <v>6953904.5287637673</v>
      </c>
      <c r="BA26" s="46">
        <f t="shared" si="6"/>
        <v>6953904.5287637673</v>
      </c>
      <c r="BB26" s="46">
        <f t="shared" si="6"/>
        <v>6953904.5287637673</v>
      </c>
      <c r="BC26" s="46">
        <f t="shared" si="6"/>
        <v>6953904.5287637673</v>
      </c>
      <c r="BD26" s="46">
        <f t="shared" si="6"/>
        <v>6953904.5287637673</v>
      </c>
      <c r="BE26" s="46">
        <f t="shared" si="6"/>
        <v>6953904.5287637673</v>
      </c>
    </row>
    <row r="27" spans="3:57" ht="14.7" customHeight="1">
      <c r="C27" s="406"/>
      <c r="D27" s="44" t="s">
        <v>244</v>
      </c>
      <c r="E27" s="45"/>
      <c r="F27" s="45"/>
      <c r="G27" s="45"/>
      <c r="H27" s="46">
        <f>'Economic parameters'!$C$35</f>
        <v>60</v>
      </c>
      <c r="I27" s="46">
        <f>'Economic parameters'!$C$35</f>
        <v>60</v>
      </c>
      <c r="J27" s="46">
        <f>'Economic parameters'!$C$35</f>
        <v>60</v>
      </c>
      <c r="K27" s="46">
        <f>'Economic parameters'!$C$35</f>
        <v>60</v>
      </c>
      <c r="L27" s="46">
        <f>'Economic parameters'!$C$35</f>
        <v>60</v>
      </c>
      <c r="M27" s="46">
        <f>'Economic parameters'!$C$35</f>
        <v>60</v>
      </c>
      <c r="N27" s="46">
        <f>'Economic parameters'!$C$35</f>
        <v>60</v>
      </c>
      <c r="O27" s="46">
        <f>'Economic parameters'!$C$35</f>
        <v>60</v>
      </c>
      <c r="P27" s="46">
        <f>'Economic parameters'!$C$35</f>
        <v>60</v>
      </c>
      <c r="Q27" s="46">
        <f>'Economic parameters'!$C$35</f>
        <v>60</v>
      </c>
      <c r="R27" s="46">
        <f>'Economic parameters'!$C$35</f>
        <v>60</v>
      </c>
      <c r="S27" s="46">
        <f>'Economic parameters'!$C$35</f>
        <v>60</v>
      </c>
      <c r="T27" s="46">
        <f>'Economic parameters'!$C$35</f>
        <v>60</v>
      </c>
      <c r="U27" s="46">
        <f>'Economic parameters'!$C$35</f>
        <v>60</v>
      </c>
      <c r="V27" s="46">
        <f>'Economic parameters'!$C$35</f>
        <v>60</v>
      </c>
      <c r="W27" s="46">
        <f>'Economic parameters'!$C$35</f>
        <v>60</v>
      </c>
      <c r="X27" s="46">
        <f>'Economic parameters'!$C$35</f>
        <v>60</v>
      </c>
      <c r="Y27" s="46">
        <f>'Economic parameters'!$C$35</f>
        <v>60</v>
      </c>
      <c r="Z27" s="46">
        <f>'Economic parameters'!$C$35</f>
        <v>60</v>
      </c>
      <c r="AA27" s="46">
        <f>'Economic parameters'!$C$35</f>
        <v>60</v>
      </c>
      <c r="AB27" s="46">
        <f>'Economic parameters'!$C$35</f>
        <v>60</v>
      </c>
      <c r="AC27" s="46">
        <f>'Economic parameters'!$C$35</f>
        <v>60</v>
      </c>
      <c r="AD27" s="46">
        <f>'Economic parameters'!$C$35</f>
        <v>60</v>
      </c>
      <c r="AE27" s="46">
        <f>'Economic parameters'!$C$35</f>
        <v>60</v>
      </c>
      <c r="AF27" s="46">
        <f>'Economic parameters'!$C$35</f>
        <v>60</v>
      </c>
      <c r="AG27" s="46">
        <f>'Economic parameters'!$C$35</f>
        <v>60</v>
      </c>
      <c r="AH27" s="46">
        <f>'Economic parameters'!$C$35</f>
        <v>60</v>
      </c>
      <c r="AI27" s="46">
        <f>'Economic parameters'!$C$35</f>
        <v>60</v>
      </c>
      <c r="AJ27" s="46">
        <f>'Economic parameters'!$C$35</f>
        <v>60</v>
      </c>
      <c r="AK27" s="46">
        <f>'Economic parameters'!$C$35</f>
        <v>60</v>
      </c>
      <c r="AL27" s="46">
        <f>'Economic parameters'!$C$35</f>
        <v>60</v>
      </c>
      <c r="AM27" s="46">
        <f>'Economic parameters'!$C$35</f>
        <v>60</v>
      </c>
      <c r="AN27" s="46">
        <f>'Economic parameters'!$C$35</f>
        <v>60</v>
      </c>
      <c r="AO27" s="46">
        <f>'Economic parameters'!$C$35</f>
        <v>60</v>
      </c>
      <c r="AP27" s="46">
        <f>'Economic parameters'!$C$35</f>
        <v>60</v>
      </c>
      <c r="AQ27" s="46">
        <f>'Economic parameters'!$C$35</f>
        <v>60</v>
      </c>
      <c r="AR27" s="46">
        <f>'Economic parameters'!$C$35</f>
        <v>60</v>
      </c>
      <c r="AS27" s="46">
        <f>'Economic parameters'!$C$35</f>
        <v>60</v>
      </c>
      <c r="AT27" s="46">
        <f>'Economic parameters'!$C$35</f>
        <v>60</v>
      </c>
      <c r="AU27" s="46">
        <f>'Economic parameters'!$C$35</f>
        <v>60</v>
      </c>
      <c r="AV27" s="46">
        <f>'Economic parameters'!$C$35</f>
        <v>60</v>
      </c>
      <c r="AW27" s="46">
        <f>'Economic parameters'!$C$35</f>
        <v>60</v>
      </c>
      <c r="AX27" s="46">
        <f>'Economic parameters'!$C$35</f>
        <v>60</v>
      </c>
      <c r="AY27" s="46">
        <f>'Economic parameters'!$C$35</f>
        <v>60</v>
      </c>
      <c r="AZ27" s="46">
        <f>'Economic parameters'!$C$35</f>
        <v>60</v>
      </c>
      <c r="BA27" s="46">
        <f>'Economic parameters'!$C$35</f>
        <v>60</v>
      </c>
      <c r="BB27" s="46">
        <f>'Economic parameters'!$C$35</f>
        <v>60</v>
      </c>
      <c r="BC27" s="46">
        <f>'Economic parameters'!$C$35</f>
        <v>60</v>
      </c>
      <c r="BD27" s="46">
        <f>'Economic parameters'!$C$35</f>
        <v>60</v>
      </c>
      <c r="BE27" s="46">
        <f>'Economic parameters'!$C$35</f>
        <v>60</v>
      </c>
    </row>
    <row r="28" spans="3:57" ht="14.7" customHeight="1">
      <c r="C28" s="406"/>
      <c r="D28" s="44" t="s">
        <v>239</v>
      </c>
      <c r="E28" s="45"/>
      <c r="F28" s="45"/>
      <c r="G28" s="45"/>
      <c r="H28" s="46">
        <f>74*(H16/277.8)*'Economic parameters'!$C$35</f>
        <v>1102611.1879049675</v>
      </c>
      <c r="I28" s="46">
        <f>74*(I16/277.8)*'Economic parameters'!$C$35</f>
        <v>1102611.1879049675</v>
      </c>
      <c r="J28" s="46">
        <f>74*(J16/277.8)*'Economic parameters'!$C$35</f>
        <v>1102611.1879049675</v>
      </c>
      <c r="K28" s="46">
        <f>74*(K16/277.8)*'Economic parameters'!$C$35</f>
        <v>1102611.1879049675</v>
      </c>
      <c r="L28" s="46">
        <f>74*(L16/277.8)*'Economic parameters'!$C$35</f>
        <v>1102611.1879049675</v>
      </c>
      <c r="M28" s="46">
        <f>74*(M16/277.8)*'Economic parameters'!$C$35</f>
        <v>1102611.1879049675</v>
      </c>
      <c r="N28" s="46">
        <f>74*(N16/277.8)*'Economic parameters'!$C$35</f>
        <v>1102611.1879049675</v>
      </c>
      <c r="O28" s="46">
        <f>74*(O16/277.8)*'Economic parameters'!$C$35</f>
        <v>1102611.1879049675</v>
      </c>
      <c r="P28" s="46">
        <f>74*(P16/277.8)*'Economic parameters'!$C$35</f>
        <v>1102611.1879049675</v>
      </c>
      <c r="Q28" s="46">
        <f>74*(Q16/277.8)*'Economic parameters'!$C$35</f>
        <v>1102611.1879049675</v>
      </c>
      <c r="R28" s="46">
        <f>74*(R16/277.8)*'Economic parameters'!$C$35</f>
        <v>1102611.1879049675</v>
      </c>
      <c r="S28" s="46">
        <f>74*(S16/277.8)*'Economic parameters'!$C$35</f>
        <v>1102611.1879049675</v>
      </c>
      <c r="T28" s="46">
        <f>74*(T16/277.8)*'Economic parameters'!$C$35</f>
        <v>1102611.1879049675</v>
      </c>
      <c r="U28" s="46">
        <f>74*(U16/277.8)*'Economic parameters'!$C$35</f>
        <v>1102611.1879049675</v>
      </c>
      <c r="V28" s="46">
        <f>74*(V16/277.8)*'Economic parameters'!$C$35</f>
        <v>1102611.1879049675</v>
      </c>
      <c r="W28" s="46">
        <f>74*(W16/277.8)*'Economic parameters'!$C$35</f>
        <v>1102611.1879049675</v>
      </c>
      <c r="X28" s="46">
        <f>74*(X16/277.8)*'Economic parameters'!$C$35</f>
        <v>1102611.1879049675</v>
      </c>
      <c r="Y28" s="46">
        <f>74*(Y16/277.8)*'Economic parameters'!$C$35</f>
        <v>1102611.1879049675</v>
      </c>
      <c r="Z28" s="46">
        <f>74*(Z16/277.8)*'Economic parameters'!$C$35</f>
        <v>1102611.1879049675</v>
      </c>
      <c r="AA28" s="46">
        <f>74*(AA16/277.8)*'Economic parameters'!$C$35</f>
        <v>1102611.1879049675</v>
      </c>
      <c r="AB28" s="46">
        <f>74*(AB16/277.8)*'Economic parameters'!$C$35</f>
        <v>1102611.1879049675</v>
      </c>
      <c r="AC28" s="46">
        <f>74*(AC16/277.8)*'Economic parameters'!$C$35</f>
        <v>1102611.1879049675</v>
      </c>
      <c r="AD28" s="46">
        <f>74*(AD16/277.8)*'Economic parameters'!$C$35</f>
        <v>1102611.1879049675</v>
      </c>
      <c r="AE28" s="46">
        <f>74*(AE16/277.8)*'Economic parameters'!$C$35</f>
        <v>1102611.1879049675</v>
      </c>
      <c r="AF28" s="46">
        <f>74*(AF16/277.8)*'Economic parameters'!$C$35</f>
        <v>1102611.1879049675</v>
      </c>
      <c r="AG28" s="46">
        <f>74*(AG16/277.8)*'Economic parameters'!$C$35</f>
        <v>1102611.1879049675</v>
      </c>
      <c r="AH28" s="46">
        <f>74*(AH16/277.8)*'Economic parameters'!$C$35</f>
        <v>1102611.1879049675</v>
      </c>
      <c r="AI28" s="46">
        <f>74*(AI16/277.8)*'Economic parameters'!$C$35</f>
        <v>1102611.1879049675</v>
      </c>
      <c r="AJ28" s="46">
        <f>74*(AJ16/277.8)*'Economic parameters'!$C$35</f>
        <v>1102611.1879049675</v>
      </c>
      <c r="AK28" s="46">
        <f>74*(AK16/277.8)*'Economic parameters'!$C$35</f>
        <v>1102611.1879049675</v>
      </c>
      <c r="AL28" s="46">
        <f>74*(AL16/277.8)*'Economic parameters'!$C$35</f>
        <v>1102611.1879049675</v>
      </c>
      <c r="AM28" s="46">
        <f>74*(AM16/277.8)*'Economic parameters'!$C$35</f>
        <v>1102611.1879049675</v>
      </c>
      <c r="AN28" s="46">
        <f>74*(AN16/277.8)*'Economic parameters'!$C$35</f>
        <v>1102611.1879049675</v>
      </c>
      <c r="AO28" s="46">
        <f>74*(AO16/277.8)*'Economic parameters'!$C$35</f>
        <v>1102611.1879049675</v>
      </c>
      <c r="AP28" s="46">
        <f>74*(AP16/277.8)*'Economic parameters'!$C$35</f>
        <v>1102611.1879049675</v>
      </c>
      <c r="AQ28" s="46">
        <f>74*(AQ16/277.8)*'Economic parameters'!$C$35</f>
        <v>1102611.1879049675</v>
      </c>
      <c r="AR28" s="46">
        <f>74*(AR16/277.8)*'Economic parameters'!$C$35</f>
        <v>1102611.1879049675</v>
      </c>
      <c r="AS28" s="46">
        <f>74*(AS16/277.8)*'Economic parameters'!$C$35</f>
        <v>1102611.1879049675</v>
      </c>
      <c r="AT28" s="46">
        <f>74*(AT16/277.8)*'Economic parameters'!$C$35</f>
        <v>1102611.1879049675</v>
      </c>
      <c r="AU28" s="46">
        <f>74*(AU16/277.8)*'Economic parameters'!$C$35</f>
        <v>1102611.1879049675</v>
      </c>
      <c r="AV28" s="46">
        <f>74*(AV16/277.8)*'Economic parameters'!$C$35</f>
        <v>1102611.1879049675</v>
      </c>
      <c r="AW28" s="46">
        <f>74*(AW16/277.8)*'Economic parameters'!$C$35</f>
        <v>1102611.1879049675</v>
      </c>
      <c r="AX28" s="46">
        <f>74*(AX16/277.8)*'Economic parameters'!$C$35</f>
        <v>1102611.1879049675</v>
      </c>
      <c r="AY28" s="46">
        <f>74*(AY16/277.8)*'Economic parameters'!$C$35</f>
        <v>1102611.1879049675</v>
      </c>
      <c r="AZ28" s="46">
        <f>74*(AZ16/277.8)*'Economic parameters'!$C$35</f>
        <v>1102611.1879049675</v>
      </c>
      <c r="BA28" s="46">
        <f>74*(BA16/277.8)*'Economic parameters'!$C$35</f>
        <v>1102611.1879049675</v>
      </c>
      <c r="BB28" s="46">
        <f>74*(BB16/277.8)*'Economic parameters'!$C$35</f>
        <v>1102611.1879049675</v>
      </c>
      <c r="BC28" s="46">
        <f>74*(BC16/277.8)*'Economic parameters'!$C$35</f>
        <v>1102611.1879049675</v>
      </c>
      <c r="BD28" s="46">
        <f>74*(BD16/277.8)*'Economic parameters'!$C$35</f>
        <v>1102611.1879049675</v>
      </c>
      <c r="BE28" s="46">
        <f>74*(BE16/277.8)*'Economic parameters'!$C$35</f>
        <v>1102611.1879049675</v>
      </c>
    </row>
    <row r="29" spans="3:57" ht="15" customHeight="1">
      <c r="C29" s="406"/>
      <c r="D29" s="47" t="s">
        <v>164</v>
      </c>
      <c r="E29" s="45"/>
      <c r="F29" s="45"/>
      <c r="G29" s="45"/>
      <c r="H29" s="46">
        <f>IF(H24="n/a",H26,IF(H26="n/a",H24,H24+H26+H28))</f>
        <v>10319385.164066613</v>
      </c>
      <c r="I29" s="46">
        <f t="shared" ref="I29:BE29" si="7">IF(I24="n/a",I26,IF(I26="n/a",I24,I24+I26+I28))</f>
        <v>10319385.164066613</v>
      </c>
      <c r="J29" s="46">
        <f t="shared" si="7"/>
        <v>10319385.164066613</v>
      </c>
      <c r="K29" s="46">
        <f t="shared" si="7"/>
        <v>10319385.164066613</v>
      </c>
      <c r="L29" s="46">
        <f t="shared" si="7"/>
        <v>10319385.164066613</v>
      </c>
      <c r="M29" s="46">
        <f t="shared" si="7"/>
        <v>10319385.164066613</v>
      </c>
      <c r="N29" s="46">
        <f t="shared" si="7"/>
        <v>10319385.164066613</v>
      </c>
      <c r="O29" s="46">
        <f t="shared" si="7"/>
        <v>10319385.164066613</v>
      </c>
      <c r="P29" s="46">
        <f t="shared" si="7"/>
        <v>10319385.164066613</v>
      </c>
      <c r="Q29" s="46">
        <f t="shared" si="7"/>
        <v>10319385.164066613</v>
      </c>
      <c r="R29" s="46">
        <f t="shared" si="7"/>
        <v>10319385.164066613</v>
      </c>
      <c r="S29" s="46">
        <f t="shared" si="7"/>
        <v>10319385.164066613</v>
      </c>
      <c r="T29" s="46">
        <f t="shared" si="7"/>
        <v>10319385.164066613</v>
      </c>
      <c r="U29" s="46">
        <f t="shared" si="7"/>
        <v>10319385.164066613</v>
      </c>
      <c r="V29" s="46">
        <f t="shared" si="7"/>
        <v>10319385.164066613</v>
      </c>
      <c r="W29" s="46">
        <f t="shared" si="7"/>
        <v>10319385.164066613</v>
      </c>
      <c r="X29" s="46">
        <f t="shared" si="7"/>
        <v>10319385.164066613</v>
      </c>
      <c r="Y29" s="46">
        <f t="shared" si="7"/>
        <v>10319385.164066613</v>
      </c>
      <c r="Z29" s="46">
        <f t="shared" si="7"/>
        <v>10319385.164066613</v>
      </c>
      <c r="AA29" s="46">
        <f t="shared" si="7"/>
        <v>10319385.164066613</v>
      </c>
      <c r="AB29" s="46">
        <f t="shared" si="7"/>
        <v>10319385.164066613</v>
      </c>
      <c r="AC29" s="46">
        <f t="shared" si="7"/>
        <v>10319385.164066613</v>
      </c>
      <c r="AD29" s="46">
        <f t="shared" si="7"/>
        <v>10319385.164066613</v>
      </c>
      <c r="AE29" s="46">
        <f t="shared" si="7"/>
        <v>10319385.164066613</v>
      </c>
      <c r="AF29" s="46">
        <f t="shared" si="7"/>
        <v>10319385.164066613</v>
      </c>
      <c r="AG29" s="46">
        <f t="shared" si="7"/>
        <v>10319385.164066613</v>
      </c>
      <c r="AH29" s="46">
        <f t="shared" si="7"/>
        <v>10319385.164066613</v>
      </c>
      <c r="AI29" s="46">
        <f t="shared" si="7"/>
        <v>10319385.164066613</v>
      </c>
      <c r="AJ29" s="46">
        <f t="shared" si="7"/>
        <v>10319385.164066613</v>
      </c>
      <c r="AK29" s="46">
        <f t="shared" si="7"/>
        <v>10319385.164066613</v>
      </c>
      <c r="AL29" s="46">
        <f t="shared" si="7"/>
        <v>10319385.164066613</v>
      </c>
      <c r="AM29" s="46">
        <f t="shared" si="7"/>
        <v>10319385.164066613</v>
      </c>
      <c r="AN29" s="46">
        <f t="shared" si="7"/>
        <v>10319385.164066613</v>
      </c>
      <c r="AO29" s="46">
        <f t="shared" si="7"/>
        <v>10319385.164066613</v>
      </c>
      <c r="AP29" s="46">
        <f t="shared" si="7"/>
        <v>10319385.164066613</v>
      </c>
      <c r="AQ29" s="46">
        <f t="shared" si="7"/>
        <v>10319385.164066613</v>
      </c>
      <c r="AR29" s="46">
        <f t="shared" si="7"/>
        <v>10319385.164066613</v>
      </c>
      <c r="AS29" s="46">
        <f t="shared" si="7"/>
        <v>10319385.164066613</v>
      </c>
      <c r="AT29" s="46">
        <f t="shared" si="7"/>
        <v>10319385.164066613</v>
      </c>
      <c r="AU29" s="46">
        <f t="shared" si="7"/>
        <v>10319385.164066613</v>
      </c>
      <c r="AV29" s="46">
        <f t="shared" si="7"/>
        <v>10319385.164066613</v>
      </c>
      <c r="AW29" s="46">
        <f t="shared" si="7"/>
        <v>10319385.164066613</v>
      </c>
      <c r="AX29" s="46">
        <f t="shared" si="7"/>
        <v>10319385.164066613</v>
      </c>
      <c r="AY29" s="46">
        <f t="shared" si="7"/>
        <v>10319385.164066613</v>
      </c>
      <c r="AZ29" s="46">
        <f t="shared" si="7"/>
        <v>10319385.164066613</v>
      </c>
      <c r="BA29" s="46">
        <f t="shared" si="7"/>
        <v>10319385.164066613</v>
      </c>
      <c r="BB29" s="46">
        <f t="shared" si="7"/>
        <v>10319385.164066613</v>
      </c>
      <c r="BC29" s="46">
        <f t="shared" si="7"/>
        <v>10319385.164066613</v>
      </c>
      <c r="BD29" s="46">
        <f t="shared" si="7"/>
        <v>10319385.164066613</v>
      </c>
      <c r="BE29" s="46">
        <f t="shared" si="7"/>
        <v>10319385.164066613</v>
      </c>
    </row>
    <row r="30" spans="3:57" ht="7.35" customHeight="1">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row>
    <row r="31" spans="3:57" ht="14.7" customHeight="1">
      <c r="C31" s="403" t="s">
        <v>136</v>
      </c>
      <c r="D31" s="49" t="s">
        <v>238</v>
      </c>
      <c r="E31" s="42"/>
      <c r="F31" s="42"/>
      <c r="G31" s="42"/>
      <c r="H31" s="43">
        <f>-'Economic parameters'!$C$11*'Economic parameters'!$C$17</f>
        <v>-4226339.930732836</v>
      </c>
      <c r="I31" s="40">
        <f>-'Economic parameters'!$C$11*'Economic parameters'!$C$17</f>
        <v>-4226339.930732836</v>
      </c>
      <c r="J31" s="40">
        <f>-'Economic parameters'!$C$11*'Economic parameters'!$C$17</f>
        <v>-4226339.930732836</v>
      </c>
      <c r="K31" s="40">
        <f>-'Economic parameters'!$C$11*'Economic parameters'!$C$17</f>
        <v>-4226339.930732836</v>
      </c>
      <c r="L31" s="40">
        <f>-'Economic parameters'!$C$11*'Economic parameters'!$C$17</f>
        <v>-4226339.930732836</v>
      </c>
      <c r="M31" s="40">
        <f>-'Economic parameters'!$C$11*'Economic parameters'!$C$17</f>
        <v>-4226339.930732836</v>
      </c>
      <c r="N31" s="40">
        <f>-'Economic parameters'!$C$11*'Economic parameters'!$C$17</f>
        <v>-4226339.930732836</v>
      </c>
      <c r="O31" s="40">
        <f>-'Economic parameters'!$C$11*'Economic parameters'!$C$17</f>
        <v>-4226339.930732836</v>
      </c>
      <c r="P31" s="40">
        <f>-'Economic parameters'!$C$11*'Economic parameters'!$C$17</f>
        <v>-4226339.930732836</v>
      </c>
      <c r="Q31" s="40">
        <f>-'Economic parameters'!$C$11*'Economic parameters'!$C$17</f>
        <v>-4226339.930732836</v>
      </c>
      <c r="R31" s="40">
        <f>-'Economic parameters'!$C$11*'Economic parameters'!$C$17</f>
        <v>-4226339.930732836</v>
      </c>
      <c r="S31" s="40">
        <f>-'Economic parameters'!$C$11*'Economic parameters'!$C$17</f>
        <v>-4226339.930732836</v>
      </c>
      <c r="T31" s="40">
        <f>-'Economic parameters'!$C$11*'Economic parameters'!$C$17</f>
        <v>-4226339.930732836</v>
      </c>
      <c r="U31" s="40">
        <f>-'Economic parameters'!$C$11*'Economic parameters'!$C$17</f>
        <v>-4226339.930732836</v>
      </c>
      <c r="V31" s="40">
        <f>-'Economic parameters'!$C$11*'Economic parameters'!$C$17</f>
        <v>-4226339.930732836</v>
      </c>
      <c r="W31" s="40">
        <f>-'Economic parameters'!$C$11*'Economic parameters'!$C$17</f>
        <v>-4226339.930732836</v>
      </c>
      <c r="X31" s="40">
        <f>-'Economic parameters'!$C$11*'Economic parameters'!$C$17</f>
        <v>-4226339.930732836</v>
      </c>
      <c r="Y31" s="40">
        <f>-'Economic parameters'!$C$11*'Economic parameters'!$C$17</f>
        <v>-4226339.930732836</v>
      </c>
      <c r="Z31" s="40">
        <f>-'Economic parameters'!$C$11*'Economic parameters'!$C$17</f>
        <v>-4226339.930732836</v>
      </c>
      <c r="AA31" s="40">
        <f>-'Economic parameters'!$C$11*'Economic parameters'!$C$17</f>
        <v>-4226339.930732836</v>
      </c>
      <c r="AB31" s="40">
        <f>-'Economic parameters'!$C$11*'Economic parameters'!$C$17</f>
        <v>-4226339.930732836</v>
      </c>
      <c r="AC31" s="40">
        <f>-'Economic parameters'!$C$11*'Economic parameters'!$C$17</f>
        <v>-4226339.930732836</v>
      </c>
      <c r="AD31" s="40">
        <f>-'Economic parameters'!$C$11*'Economic parameters'!$C$17</f>
        <v>-4226339.930732836</v>
      </c>
      <c r="AE31" s="40">
        <f>-'Economic parameters'!$C$11*'Economic parameters'!$C$17</f>
        <v>-4226339.930732836</v>
      </c>
      <c r="AF31" s="40">
        <f>-'Economic parameters'!$C$11*'Economic parameters'!$C$17</f>
        <v>-4226339.930732836</v>
      </c>
      <c r="AG31" s="40">
        <f>-'Economic parameters'!$C$11*'Economic parameters'!$C$17</f>
        <v>-4226339.930732836</v>
      </c>
      <c r="AH31" s="40">
        <f>-'Economic parameters'!$C$11*'Economic parameters'!$C$17</f>
        <v>-4226339.930732836</v>
      </c>
      <c r="AI31" s="40">
        <f>-'Economic parameters'!$C$11*'Economic parameters'!$C$17</f>
        <v>-4226339.930732836</v>
      </c>
      <c r="AJ31" s="40">
        <f>-'Economic parameters'!$C$11*'Economic parameters'!$C$17</f>
        <v>-4226339.930732836</v>
      </c>
      <c r="AK31" s="40">
        <f>-'Economic parameters'!$C$11*'Economic parameters'!$C$17</f>
        <v>-4226339.930732836</v>
      </c>
      <c r="AL31" s="40">
        <f>-'Economic parameters'!$C$11*'Economic parameters'!$C$17</f>
        <v>-4226339.930732836</v>
      </c>
      <c r="AM31" s="40">
        <f>-'Economic parameters'!$C$11*'Economic parameters'!$C$17</f>
        <v>-4226339.930732836</v>
      </c>
      <c r="AN31" s="40">
        <f>-'Economic parameters'!$C$11*'Economic parameters'!$C$17</f>
        <v>-4226339.930732836</v>
      </c>
      <c r="AO31" s="40">
        <f>-'Economic parameters'!$C$11*'Economic parameters'!$C$17</f>
        <v>-4226339.930732836</v>
      </c>
      <c r="AP31" s="40">
        <f>-'Economic parameters'!$C$11*'Economic parameters'!$C$17</f>
        <v>-4226339.930732836</v>
      </c>
      <c r="AQ31" s="40">
        <f>-'Economic parameters'!$C$11*'Economic parameters'!$C$17</f>
        <v>-4226339.930732836</v>
      </c>
      <c r="AR31" s="40">
        <f>-'Economic parameters'!$C$11*'Economic parameters'!$C$17</f>
        <v>-4226339.930732836</v>
      </c>
      <c r="AS31" s="40">
        <f>-'Economic parameters'!$C$11*'Economic parameters'!$C$17</f>
        <v>-4226339.930732836</v>
      </c>
      <c r="AT31" s="40">
        <f>-'Economic parameters'!$C$11*'Economic parameters'!$C$17</f>
        <v>-4226339.930732836</v>
      </c>
      <c r="AU31" s="40">
        <f>-'Economic parameters'!$C$11*'Economic parameters'!$C$17</f>
        <v>-4226339.930732836</v>
      </c>
      <c r="AV31" s="40">
        <f>-'Economic parameters'!$C$11*'Economic parameters'!$C$17</f>
        <v>-4226339.930732836</v>
      </c>
      <c r="AW31" s="40">
        <f>-'Economic parameters'!$C$11*'Economic parameters'!$C$17</f>
        <v>-4226339.930732836</v>
      </c>
      <c r="AX31" s="40">
        <f>-'Economic parameters'!$C$11*'Economic parameters'!$C$17</f>
        <v>-4226339.930732836</v>
      </c>
      <c r="AY31" s="40">
        <f>-'Economic parameters'!$C$11*'Economic parameters'!$C$17</f>
        <v>-4226339.930732836</v>
      </c>
      <c r="AZ31" s="40">
        <f>-'Economic parameters'!$C$11*'Economic parameters'!$C$17</f>
        <v>-4226339.930732836</v>
      </c>
      <c r="BA31" s="40">
        <f>-'Economic parameters'!$C$11*'Economic parameters'!$C$17</f>
        <v>-4226339.930732836</v>
      </c>
      <c r="BB31" s="40">
        <f>-'Economic parameters'!$C$11*'Economic parameters'!$C$17</f>
        <v>-4226339.930732836</v>
      </c>
      <c r="BC31" s="40">
        <f>-'Economic parameters'!$C$11*'Economic parameters'!$C$17</f>
        <v>-4226339.930732836</v>
      </c>
      <c r="BD31" s="40">
        <f>-'Economic parameters'!$C$11*'Economic parameters'!$C$17</f>
        <v>-4226339.930732836</v>
      </c>
      <c r="BE31" s="40">
        <f>-'Economic parameters'!$C$11*'Economic parameters'!$C$17</f>
        <v>-4226339.930732836</v>
      </c>
    </row>
    <row r="32" spans="3:57" ht="14.7" customHeight="1">
      <c r="C32" s="403"/>
      <c r="D32" s="100" t="s">
        <v>173</v>
      </c>
      <c r="E32" s="39"/>
      <c r="F32" s="39"/>
      <c r="G32" s="39"/>
      <c r="H32" s="101">
        <f>H31/((1+'Economic parameters'!$C$40)^'Cash-Flow Model'!H5)</f>
        <v>-3605356.6561936955</v>
      </c>
      <c r="I32" s="101">
        <f>I31/((1+'Economic parameters'!$C$40)^'Cash-Flow Model'!I5)</f>
        <v>-3419344.3249181486</v>
      </c>
      <c r="J32" s="101">
        <f>J31/((1+'Economic parameters'!$C$40)^'Cash-Flow Model'!J5)</f>
        <v>-3242928.9879724472</v>
      </c>
      <c r="K32" s="101">
        <f>K31/((1+'Economic parameters'!$C$40)^'Cash-Flow Model'!K5)</f>
        <v>-3075615.5045262207</v>
      </c>
      <c r="L32" s="101">
        <f>L31/((1+'Economic parameters'!$C$40)^'Cash-Flow Model'!L5)</f>
        <v>-2916934.2797099971</v>
      </c>
      <c r="M32" s="101">
        <f>M31/((1+'Economic parameters'!$C$40)^'Cash-Flow Model'!M5)</f>
        <v>-2766439.9466141858</v>
      </c>
      <c r="N32" s="101">
        <f>N31/((1+'Economic parameters'!$C$40)^'Cash-Flow Model'!N5)</f>
        <v>-2623710.116288112</v>
      </c>
      <c r="O32" s="101">
        <f>O31/((1+'Economic parameters'!$C$40)^'Cash-Flow Model'!O5)</f>
        <v>-2488344.1922307592</v>
      </c>
      <c r="P32" s="101">
        <f>P31/((1+'Economic parameters'!$C$40)^'Cash-Flow Model'!P5)</f>
        <v>-2359962.2460458642</v>
      </c>
      <c r="Q32" s="101">
        <f>Q31/((1+'Economic parameters'!$C$40)^'Cash-Flow Model'!Q5)</f>
        <v>-2238203.9511057134</v>
      </c>
      <c r="R32" s="101">
        <f>R31/((1+'Economic parameters'!$C$40)^'Cash-Flow Model'!R5)</f>
        <v>-2122727.5712307598</v>
      </c>
      <c r="S32" s="101">
        <f>S31/((1+'Economic parameters'!$C$40)^'Cash-Flow Model'!S5)</f>
        <v>-2013209.0015466239</v>
      </c>
      <c r="T32" s="101">
        <f>T31/((1+'Economic parameters'!$C$40)^'Cash-Flow Model'!T5)</f>
        <v>-1909340.8588264643</v>
      </c>
      <c r="U32" s="101">
        <f>U31/((1+'Economic parameters'!$C$40)^'Cash-Flow Model'!U5)</f>
        <v>-1810831.6187656147</v>
      </c>
      <c r="V32" s="101">
        <f>V31/((1+'Economic parameters'!$C$40)^'Cash-Flow Model'!V5)</f>
        <v>-1717404.7977670855</v>
      </c>
      <c r="W32" s="101">
        <f>W31/((1+'Economic parameters'!$C$40)^'Cash-Flow Model'!W5)</f>
        <v>-1628798.1769414693</v>
      </c>
      <c r="X32" s="101">
        <f>X31/((1+'Economic parameters'!$C$40)^'Cash-Flow Model'!X5)</f>
        <v>-1544763.0661432755</v>
      </c>
      <c r="Y32" s="101">
        <f>Y31/((1+'Economic parameters'!$C$40)^'Cash-Flow Model'!Y5)</f>
        <v>-1465063.6059780687</v>
      </c>
      <c r="Z32" s="101">
        <f>Z31/((1+'Economic parameters'!$C$40)^'Cash-Flow Model'!Z5)</f>
        <v>-1389476.105821385</v>
      </c>
      <c r="AA32" s="101">
        <f>AA31/((1+'Economic parameters'!$C$40)^'Cash-Flow Model'!AA5)</f>
        <v>-1317788.4159914502</v>
      </c>
      <c r="AB32" s="101">
        <f>AB31/((1+'Economic parameters'!$C$40)^'Cash-Flow Model'!AB5)</f>
        <v>-1249799.3323135911</v>
      </c>
      <c r="AC32" s="101">
        <f>AC31/((1+'Economic parameters'!$C$40)^'Cash-Flow Model'!AC5)</f>
        <v>-1185318.0314051509</v>
      </c>
      <c r="AD32" s="101">
        <f>AD31/((1+'Economic parameters'!$C$40)^'Cash-Flow Model'!AD5)</f>
        <v>-1124163.535095932</v>
      </c>
      <c r="AE32" s="101">
        <f>AE31/((1+'Economic parameters'!$C$40)^'Cash-Flow Model'!AE5)</f>
        <v>-1066164.2024809674</v>
      </c>
      <c r="AF32" s="101">
        <f>AF31/((1+'Economic parameters'!$C$40)^'Cash-Flow Model'!AF5)</f>
        <v>-1011157.2481799768</v>
      </c>
      <c r="AG32" s="101">
        <f>AG31/((1+'Economic parameters'!$C$40)^'Cash-Flow Model'!AG5)</f>
        <v>-958988.28545141965</v>
      </c>
      <c r="AH32" s="101">
        <f>AH31/((1+'Economic parameters'!$C$40)^'Cash-Flow Model'!AH5)</f>
        <v>-909510.89287881216</v>
      </c>
      <c r="AI32" s="101">
        <f>AI31/((1+'Economic parameters'!$C$40)^'Cash-Flow Model'!AI5)</f>
        <v>-862586.2034131377</v>
      </c>
      <c r="AJ32" s="101">
        <f>AJ31/((1+'Economic parameters'!$C$40)^'Cash-Flow Model'!AJ5)</f>
        <v>-818082.51461792272</v>
      </c>
      <c r="AK32" s="101">
        <f>AK31/((1+'Economic parameters'!$C$40)^'Cash-Flow Model'!AK5)</f>
        <v>-775874.91902306769</v>
      </c>
      <c r="AL32" s="101">
        <f>AL31/((1+'Economic parameters'!$C$40)^'Cash-Flow Model'!AL5)</f>
        <v>-735844.95354995038</v>
      </c>
      <c r="AM32" s="101">
        <f>AM31/((1+'Economic parameters'!$C$40)^'Cash-Flow Model'!AM5)</f>
        <v>-697880.26702385279</v>
      </c>
      <c r="AN32" s="101">
        <f>AN31/((1+'Economic parameters'!$C$40)^'Cash-Flow Model'!AN5)</f>
        <v>-661874.30484052817</v>
      </c>
      <c r="AO32" s="101">
        <f>AO31/((1+'Economic parameters'!$C$40)^'Cash-Flow Model'!AO5)</f>
        <v>-627726.00990186667</v>
      </c>
      <c r="AP32" s="101">
        <f>AP31/((1+'Economic parameters'!$C$40)^'Cash-Flow Model'!AP5)</f>
        <v>-595339.53898128471</v>
      </c>
      <c r="AQ32" s="101">
        <f>AQ31/((1+'Economic parameters'!$C$40)^'Cash-Flow Model'!AQ5)</f>
        <v>-564623.99372276629</v>
      </c>
      <c r="AR32" s="101">
        <f>AR31/((1+'Economic parameters'!$C$40)^'Cash-Flow Model'!AR5)</f>
        <v>-535493.16551855684</v>
      </c>
      <c r="AS32" s="101">
        <f>AS31/((1+'Economic parameters'!$C$40)^'Cash-Flow Model'!AS5)</f>
        <v>-507865.29354946583</v>
      </c>
      <c r="AT32" s="101">
        <f>AT31/((1+'Economic parameters'!$C$40)^'Cash-Flow Model'!AT5)</f>
        <v>-481662.83530867402</v>
      </c>
      <c r="AU32" s="101">
        <f>AU31/((1+'Economic parameters'!$C$40)^'Cash-Flow Model'!AU5)</f>
        <v>-456812.24896497914</v>
      </c>
      <c r="AV32" s="101">
        <f>AV31/((1+'Economic parameters'!$C$40)^'Cash-Flow Model'!AV5)</f>
        <v>-433243.78695464641</v>
      </c>
      <c r="AW32" s="101">
        <f>AW31/((1+'Economic parameters'!$C$40)^'Cash-Flow Model'!AW5)</f>
        <v>-410891.30022254027</v>
      </c>
      <c r="AX32" s="101">
        <f>AX31/((1+'Economic parameters'!$C$40)^'Cash-Flow Model'!AX5)</f>
        <v>-389692.05256310717</v>
      </c>
      <c r="AY32" s="101">
        <f>AY31/((1+'Economic parameters'!$C$40)^'Cash-Flow Model'!AY5)</f>
        <v>-369586.54454012448</v>
      </c>
      <c r="AZ32" s="101">
        <f>AZ31/((1+'Economic parameters'!$C$40)^'Cash-Flow Model'!AZ5)</f>
        <v>-350518.34649101336</v>
      </c>
      <c r="BA32" s="101">
        <f>BA31/((1+'Economic parameters'!$C$40)^'Cash-Flow Model'!BA5)</f>
        <v>-332433.94014701567</v>
      </c>
      <c r="BB32" s="101">
        <f>BB31/((1+'Economic parameters'!$C$40)^'Cash-Flow Model'!BB5)</f>
        <v>-315282.56842471141</v>
      </c>
      <c r="BC32" s="101">
        <f>BC31/((1+'Economic parameters'!$C$40)^'Cash-Flow Model'!BC5)</f>
        <v>-299016.09296729078</v>
      </c>
      <c r="BD32" s="101">
        <f>BD31/((1+'Economic parameters'!$C$40)^'Cash-Flow Model'!BD5)</f>
        <v>-283588.85903574625</v>
      </c>
      <c r="BE32" s="101">
        <f>BE31/((1+'Economic parameters'!$C$40)^'Cash-Flow Model'!BE5)</f>
        <v>-268957.56737077603</v>
      </c>
    </row>
    <row r="33" spans="3:57" ht="14.7" customHeight="1">
      <c r="C33" s="403"/>
      <c r="D33" s="102" t="s">
        <v>153</v>
      </c>
      <c r="E33" s="103"/>
      <c r="F33" s="103"/>
      <c r="G33" s="103"/>
      <c r="H33" s="43">
        <f>-'Economic parameters'!$C$12*'Economic parameters'!$C$21</f>
        <v>-55257.388947957566</v>
      </c>
      <c r="I33" s="40">
        <f>-'Economic parameters'!$C$12*'Economic parameters'!$C$21</f>
        <v>-55257.388947957566</v>
      </c>
      <c r="J33" s="40">
        <f>-'Economic parameters'!$C$12*'Economic parameters'!$C$21</f>
        <v>-55257.388947957566</v>
      </c>
      <c r="K33" s="40">
        <f>-'Economic parameters'!$C$12*'Economic parameters'!$C$21</f>
        <v>-55257.388947957566</v>
      </c>
      <c r="L33" s="40">
        <f>-'Economic parameters'!$C$12*'Economic parameters'!$C$21</f>
        <v>-55257.388947957566</v>
      </c>
      <c r="M33" s="40">
        <f>-'Economic parameters'!$C$12*'Economic parameters'!$C$21</f>
        <v>-55257.388947957566</v>
      </c>
      <c r="N33" s="40">
        <f>-'Economic parameters'!$C$12*'Economic parameters'!$C$21</f>
        <v>-55257.388947957566</v>
      </c>
      <c r="O33" s="40">
        <f>-'Economic parameters'!$C$12*'Economic parameters'!$C$21</f>
        <v>-55257.388947957566</v>
      </c>
      <c r="P33" s="40">
        <f>-'Economic parameters'!$C$12*'Economic parameters'!$C$21</f>
        <v>-55257.388947957566</v>
      </c>
      <c r="Q33" s="40">
        <f>-'Economic parameters'!$C$12*'Economic parameters'!$C$21</f>
        <v>-55257.388947957566</v>
      </c>
      <c r="R33" s="40">
        <f>-'Economic parameters'!$C$12*'Economic parameters'!$C$21</f>
        <v>-55257.388947957566</v>
      </c>
      <c r="S33" s="40">
        <f>-'Economic parameters'!$C$12*'Economic parameters'!$C$21</f>
        <v>-55257.388947957566</v>
      </c>
      <c r="T33" s="40">
        <f>-'Economic parameters'!$C$12*'Economic parameters'!$C$21</f>
        <v>-55257.388947957566</v>
      </c>
      <c r="U33" s="40">
        <f>-'Economic parameters'!$C$12*'Economic parameters'!$C$21</f>
        <v>-55257.388947957566</v>
      </c>
      <c r="V33" s="40">
        <f>-'Economic parameters'!$C$12*'Economic parameters'!$C$21</f>
        <v>-55257.388947957566</v>
      </c>
      <c r="W33" s="40">
        <f>-'Economic parameters'!$C$12*'Economic parameters'!$C$21</f>
        <v>-55257.388947957566</v>
      </c>
      <c r="X33" s="40">
        <f>-'Economic parameters'!$C$12*'Economic parameters'!$C$21</f>
        <v>-55257.388947957566</v>
      </c>
      <c r="Y33" s="40">
        <f>-'Economic parameters'!$C$12*'Economic parameters'!$C$21</f>
        <v>-55257.388947957566</v>
      </c>
      <c r="Z33" s="40">
        <f>-'Economic parameters'!$C$12*'Economic parameters'!$C$21</f>
        <v>-55257.388947957566</v>
      </c>
      <c r="AA33" s="40">
        <f>-'Economic parameters'!$C$12*'Economic parameters'!$C$21</f>
        <v>-55257.388947957566</v>
      </c>
      <c r="AB33" s="40">
        <f>-'Economic parameters'!$C$12*'Economic parameters'!$C$21</f>
        <v>-55257.388947957566</v>
      </c>
      <c r="AC33" s="40">
        <f>-'Economic parameters'!$C$12*'Economic parameters'!$C$21</f>
        <v>-55257.388947957566</v>
      </c>
      <c r="AD33" s="40">
        <f>-'Economic parameters'!$C$12*'Economic parameters'!$C$21</f>
        <v>-55257.388947957566</v>
      </c>
      <c r="AE33" s="40">
        <f>-'Economic parameters'!$C$12*'Economic parameters'!$C$21</f>
        <v>-55257.388947957566</v>
      </c>
      <c r="AF33" s="40">
        <f>-'Economic parameters'!$C$12*'Economic parameters'!$C$21</f>
        <v>-55257.388947957566</v>
      </c>
      <c r="AG33" s="40">
        <f>-'Economic parameters'!$C$12*'Economic parameters'!$C$21</f>
        <v>-55257.388947957566</v>
      </c>
      <c r="AH33" s="40">
        <f>-'Economic parameters'!$C$12*'Economic parameters'!$C$21</f>
        <v>-55257.388947957566</v>
      </c>
      <c r="AI33" s="40">
        <f>-'Economic parameters'!$C$12*'Economic parameters'!$C$21</f>
        <v>-55257.388947957566</v>
      </c>
      <c r="AJ33" s="40">
        <f>-'Economic parameters'!$C$12*'Economic parameters'!$C$21</f>
        <v>-55257.388947957566</v>
      </c>
      <c r="AK33" s="40">
        <f>-'Economic parameters'!$C$12*'Economic parameters'!$C$21</f>
        <v>-55257.388947957566</v>
      </c>
      <c r="AL33" s="40">
        <f>-'Economic parameters'!$C$12*'Economic parameters'!$C$21</f>
        <v>-55257.388947957566</v>
      </c>
      <c r="AM33" s="40">
        <f>-'Economic parameters'!$C$12*'Economic parameters'!$C$21</f>
        <v>-55257.388947957566</v>
      </c>
      <c r="AN33" s="40">
        <f>-'Economic parameters'!$C$12*'Economic parameters'!$C$21</f>
        <v>-55257.388947957566</v>
      </c>
      <c r="AO33" s="40">
        <f>-'Economic parameters'!$C$12*'Economic parameters'!$C$21</f>
        <v>-55257.388947957566</v>
      </c>
      <c r="AP33" s="40">
        <f>-'Economic parameters'!$C$12*'Economic parameters'!$C$21</f>
        <v>-55257.388947957566</v>
      </c>
      <c r="AQ33" s="40">
        <f>-'Economic parameters'!$C$12*'Economic parameters'!$C$21</f>
        <v>-55257.388947957566</v>
      </c>
      <c r="AR33" s="40">
        <f>-'Economic parameters'!$C$12*'Economic parameters'!$C$21</f>
        <v>-55257.388947957566</v>
      </c>
      <c r="AS33" s="40">
        <f>-'Economic parameters'!$C$12*'Economic parameters'!$C$21</f>
        <v>-55257.388947957566</v>
      </c>
      <c r="AT33" s="40">
        <f>-'Economic parameters'!$C$12*'Economic parameters'!$C$21</f>
        <v>-55257.388947957566</v>
      </c>
      <c r="AU33" s="40">
        <f>-'Economic parameters'!$C$12*'Economic parameters'!$C$21</f>
        <v>-55257.388947957566</v>
      </c>
      <c r="AV33" s="40">
        <f>-'Economic parameters'!$C$12*'Economic parameters'!$C$21</f>
        <v>-55257.388947957566</v>
      </c>
      <c r="AW33" s="40">
        <f>-'Economic parameters'!$C$12*'Economic parameters'!$C$21</f>
        <v>-55257.388947957566</v>
      </c>
      <c r="AX33" s="40">
        <f>-'Economic parameters'!$C$12*'Economic parameters'!$C$21</f>
        <v>-55257.388947957566</v>
      </c>
      <c r="AY33" s="40">
        <f>-'Economic parameters'!$C$12*'Economic parameters'!$C$21</f>
        <v>-55257.388947957566</v>
      </c>
      <c r="AZ33" s="40">
        <f>-'Economic parameters'!$C$12*'Economic parameters'!$C$21</f>
        <v>-55257.388947957566</v>
      </c>
      <c r="BA33" s="40">
        <f>-'Economic parameters'!$C$12*'Economic parameters'!$C$21</f>
        <v>-55257.388947957566</v>
      </c>
      <c r="BB33" s="40">
        <f>-'Economic parameters'!$C$12*'Economic parameters'!$C$21</f>
        <v>-55257.388947957566</v>
      </c>
      <c r="BC33" s="40">
        <f>-'Economic parameters'!$C$12*'Economic parameters'!$C$21</f>
        <v>-55257.388947957566</v>
      </c>
      <c r="BD33" s="40">
        <f>-'Economic parameters'!$C$12*'Economic parameters'!$C$21</f>
        <v>-55257.388947957566</v>
      </c>
      <c r="BE33" s="40">
        <f>-'Economic parameters'!$C$12*'Economic parameters'!$C$21</f>
        <v>-55257.388947957566</v>
      </c>
    </row>
    <row r="34" spans="3:57" ht="14.7" customHeight="1">
      <c r="C34" s="403"/>
      <c r="D34" s="100" t="s">
        <v>173</v>
      </c>
      <c r="E34" s="39"/>
      <c r="F34" s="39"/>
      <c r="G34" s="39"/>
      <c r="H34" s="101">
        <f>H33/((1+'Economic parameters'!$C$40)^'Cash-Flow Model'!H5)</f>
        <v>-47138.32732637247</v>
      </c>
      <c r="I34" s="101">
        <f>I33/((1+'Economic parameters'!$C$40)^'Cash-Flow Model'!I5)</f>
        <v>-44706.304368714402</v>
      </c>
      <c r="J34" s="101">
        <f>J33/((1+'Economic parameters'!$C$40)^'Cash-Flow Model'!J5)</f>
        <v>-42399.757557581943</v>
      </c>
      <c r="K34" s="101">
        <f>K33/((1+'Economic parameters'!$C$40)^'Cash-Flow Model'!K5)</f>
        <v>-40212.213161591375</v>
      </c>
      <c r="L34" s="101">
        <f>L33/((1+'Economic parameters'!$C$40)^'Cash-Flow Model'!L5)</f>
        <v>-38137.531450674673</v>
      </c>
      <c r="M34" s="101">
        <f>M33/((1+'Economic parameters'!$C$40)^'Cash-Flow Model'!M5)</f>
        <v>-36169.88946384169</v>
      </c>
      <c r="N34" s="101">
        <f>N33/((1+'Economic parameters'!$C$40)^'Cash-Flow Model'!N5)</f>
        <v>-34303.764666010706</v>
      </c>
      <c r="O34" s="101">
        <f>O33/((1+'Economic parameters'!$C$40)^'Cash-Flow Model'!O5)</f>
        <v>-32533.919448037468</v>
      </c>
      <c r="P34" s="101">
        <f>P33/((1+'Economic parameters'!$C$40)^'Cash-Flow Model'!P5)</f>
        <v>-30855.386426439178</v>
      </c>
      <c r="Q34" s="101">
        <f>Q33/((1+'Economic parameters'!$C$40)^'Cash-Flow Model'!Q5)</f>
        <v>-29263.45450155461</v>
      </c>
      <c r="R34" s="101">
        <f>R33/((1+'Economic parameters'!$C$40)^'Cash-Flow Model'!R5)</f>
        <v>-27753.655635010062</v>
      </c>
      <c r="S34" s="101">
        <f>S33/((1+'Economic parameters'!$C$40)^'Cash-Flow Model'!S5)</f>
        <v>-26321.752309379801</v>
      </c>
      <c r="T34" s="101">
        <f>T33/((1+'Economic parameters'!$C$40)^'Cash-Flow Model'!T5)</f>
        <v>-24963.725634844275</v>
      </c>
      <c r="U34" s="101">
        <f>U33/((1+'Economic parameters'!$C$40)^'Cash-Flow Model'!U5)</f>
        <v>-23675.76406946536</v>
      </c>
      <c r="V34" s="101">
        <f>V33/((1+'Economic parameters'!$C$40)^'Cash-Flow Model'!V5)</f>
        <v>-22454.252721420107</v>
      </c>
      <c r="W34" s="101">
        <f>W33/((1+'Economic parameters'!$C$40)^'Cash-Flow Model'!W5)</f>
        <v>-21295.763203167779</v>
      </c>
      <c r="X34" s="101">
        <f>X33/((1+'Economic parameters'!$C$40)^'Cash-Flow Model'!X5)</f>
        <v>-20197.044009074147</v>
      </c>
      <c r="Y34" s="101">
        <f>Y33/((1+'Economic parameters'!$C$40)^'Cash-Flow Model'!Y5)</f>
        <v>-19155.011389486102</v>
      </c>
      <c r="Z34" s="101">
        <f>Z33/((1+'Economic parameters'!$C$40)^'Cash-Flow Model'!Z5)</f>
        <v>-18166.740695643115</v>
      </c>
      <c r="AA34" s="101">
        <f>AA33/((1+'Economic parameters'!$C$40)^'Cash-Flow Model'!AA5)</f>
        <v>-17229.458171133458</v>
      </c>
      <c r="AB34" s="101">
        <f>AB33/((1+'Economic parameters'!$C$40)^'Cash-Flow Model'!AB5)</f>
        <v>-16340.533166856467</v>
      </c>
      <c r="AC34" s="101">
        <f>AC33/((1+'Economic parameters'!$C$40)^'Cash-Flow Model'!AC5)</f>
        <v>-15497.470757640807</v>
      </c>
      <c r="AD34" s="101">
        <f>AD33/((1+'Economic parameters'!$C$40)^'Cash-Flow Model'!AD5)</f>
        <v>-14697.904739795909</v>
      </c>
      <c r="AE34" s="101">
        <f>AE33/((1+'Economic parameters'!$C$40)^'Cash-Flow Model'!AE5)</f>
        <v>-13939.59098994301</v>
      </c>
      <c r="AF34" s="101">
        <f>AF33/((1+'Economic parameters'!$C$40)^'Cash-Flow Model'!AF5)</f>
        <v>-13220.401166486165</v>
      </c>
      <c r="AG34" s="101">
        <f>AG33/((1+'Economic parameters'!$C$40)^'Cash-Flow Model'!AG5)</f>
        <v>-12538.316736045301</v>
      </c>
      <c r="AH34" s="101">
        <f>AH33/((1+'Economic parameters'!$C$40)^'Cash-Flow Model'!AH5)</f>
        <v>-11891.42330808545</v>
      </c>
      <c r="AI34" s="101">
        <f>AI33/((1+'Economic parameters'!$C$40)^'Cash-Flow Model'!AI5)</f>
        <v>-11277.905261841286</v>
      </c>
      <c r="AJ34" s="101">
        <f>AJ33/((1+'Economic parameters'!$C$40)^'Cash-Flow Model'!AJ5)</f>
        <v>-10696.040650456456</v>
      </c>
      <c r="AK34" s="101">
        <f>AK33/((1+'Economic parameters'!$C$40)^'Cash-Flow Model'!AK5)</f>
        <v>-10144.196368035333</v>
      </c>
      <c r="AL34" s="101">
        <f>AL33/((1+'Economic parameters'!$C$40)^'Cash-Flow Model'!AL5)</f>
        <v>-9620.8235660426144</v>
      </c>
      <c r="AM34" s="101">
        <f>AM33/((1+'Economic parameters'!$C$40)^'Cash-Flow Model'!AM5)</f>
        <v>-9124.4533061860911</v>
      </c>
      <c r="AN34" s="101">
        <f>AN33/((1+'Economic parameters'!$C$40)^'Cash-Flow Model'!AN5)</f>
        <v>-8653.6924375816507</v>
      </c>
      <c r="AO34" s="101">
        <f>AO33/((1+'Economic parameters'!$C$40)^'Cash-Flow Model'!AO5)</f>
        <v>-8207.2196866290324</v>
      </c>
      <c r="AP34" s="101">
        <f>AP33/((1+'Economic parameters'!$C$40)^'Cash-Flow Model'!AP5)</f>
        <v>-7783.7819486238905</v>
      </c>
      <c r="AQ34" s="101">
        <f>AQ33/((1+'Economic parameters'!$C$40)^'Cash-Flow Model'!AQ5)</f>
        <v>-7382.1907706979246</v>
      </c>
      <c r="AR34" s="101">
        <f>AR33/((1+'Economic parameters'!$C$40)^'Cash-Flow Model'!AR5)</f>
        <v>-7001.3190162157862</v>
      </c>
      <c r="AS34" s="101">
        <f>AS33/((1+'Economic parameters'!$C$40)^'Cash-Flow Model'!AS5)</f>
        <v>-6640.0977012668682</v>
      </c>
      <c r="AT34" s="101">
        <f>AT33/((1+'Economic parameters'!$C$40)^'Cash-Flow Model'!AT5)</f>
        <v>-6297.5129943729789</v>
      </c>
      <c r="AU34" s="101">
        <f>AU33/((1+'Economic parameters'!$C$40)^'Cash-Flow Model'!AU5)</f>
        <v>-5972.6033709910653</v>
      </c>
      <c r="AV34" s="101">
        <f>AV33/((1+'Economic parameters'!$C$40)^'Cash-Flow Model'!AV5)</f>
        <v>-5664.4569148246064</v>
      </c>
      <c r="AW34" s="101">
        <f>AW33/((1+'Economic parameters'!$C$40)^'Cash-Flow Model'!AW5)</f>
        <v>-5372.2087583693165</v>
      </c>
      <c r="AX34" s="101">
        <f>AX33/((1+'Economic parameters'!$C$40)^'Cash-Flow Model'!AX5)</f>
        <v>-5095.0386555095938</v>
      </c>
      <c r="AY34" s="101">
        <f>AY33/((1+'Economic parameters'!$C$40)^'Cash-Flow Model'!AY5)</f>
        <v>-4832.1686793528024</v>
      </c>
      <c r="AZ34" s="101">
        <f>AZ33/((1+'Economic parameters'!$C$40)^'Cash-Flow Model'!AZ5)</f>
        <v>-4582.8610388399111</v>
      </c>
      <c r="BA34" s="101">
        <f>BA33/((1+'Economic parameters'!$C$40)^'Cash-Flow Model'!BA5)</f>
        <v>-4346.4160080044676</v>
      </c>
      <c r="BB34" s="101">
        <f>BB33/((1+'Economic parameters'!$C$40)^'Cash-Flow Model'!BB5)</f>
        <v>-4122.169962067971</v>
      </c>
      <c r="BC34" s="101">
        <f>BC33/((1+'Economic parameters'!$C$40)^'Cash-Flow Model'!BC5)</f>
        <v>-3909.4935148596073</v>
      </c>
      <c r="BD34" s="101">
        <f>BD33/((1+'Economic parameters'!$C$40)^'Cash-Flow Model'!BD5)</f>
        <v>-3707.7897523327088</v>
      </c>
      <c r="BE34" s="101">
        <f>BE33/((1+'Economic parameters'!$C$40)^'Cash-Flow Model'!BE5)</f>
        <v>-3516.492557219944</v>
      </c>
    </row>
    <row r="35" spans="3:57" ht="14.7" customHeight="1">
      <c r="C35" s="403"/>
      <c r="D35" s="49" t="s">
        <v>168</v>
      </c>
      <c r="E35" s="42"/>
      <c r="F35" s="42"/>
      <c r="G35" s="42"/>
      <c r="H35" s="43">
        <f>-'Economic parameters'!$C$13*'Economic parameters'!$C$22</f>
        <v>-10000</v>
      </c>
      <c r="I35" s="43">
        <f>-'Economic parameters'!$C$13*'Economic parameters'!$C$22</f>
        <v>-10000</v>
      </c>
      <c r="J35" s="43">
        <f>-'Economic parameters'!$C$13*'Economic parameters'!$C$22</f>
        <v>-10000</v>
      </c>
      <c r="K35" s="43">
        <f>-'Economic parameters'!$C$13*'Economic parameters'!$C$22</f>
        <v>-10000</v>
      </c>
      <c r="L35" s="43">
        <f>-'Economic parameters'!$C$13*'Economic parameters'!$C$22</f>
        <v>-10000</v>
      </c>
      <c r="M35" s="43">
        <f>-'Economic parameters'!$C$13*'Economic parameters'!$C$22</f>
        <v>-10000</v>
      </c>
      <c r="N35" s="43">
        <f>-'Economic parameters'!$C$13*'Economic parameters'!$C$22</f>
        <v>-10000</v>
      </c>
      <c r="O35" s="43">
        <f>-'Economic parameters'!$C$13*'Economic parameters'!$C$22</f>
        <v>-10000</v>
      </c>
      <c r="P35" s="43">
        <f>-'Economic parameters'!$C$13*'Economic parameters'!$C$22</f>
        <v>-10000</v>
      </c>
      <c r="Q35" s="43">
        <f>-'Economic parameters'!$C$13*'Economic parameters'!$C$22</f>
        <v>-10000</v>
      </c>
      <c r="R35" s="43">
        <f>-'Economic parameters'!$C$13*'Economic parameters'!$C$22</f>
        <v>-10000</v>
      </c>
      <c r="S35" s="43">
        <f>-'Economic parameters'!$C$13*'Economic parameters'!$C$22</f>
        <v>-10000</v>
      </c>
      <c r="T35" s="43">
        <f>-'Economic parameters'!$C$13*'Economic parameters'!$C$22</f>
        <v>-10000</v>
      </c>
      <c r="U35" s="43">
        <f>-'Economic parameters'!$C$13*'Economic parameters'!$C$22</f>
        <v>-10000</v>
      </c>
      <c r="V35" s="43">
        <f>-'Economic parameters'!$C$13*'Economic parameters'!$C$22</f>
        <v>-10000</v>
      </c>
      <c r="W35" s="43">
        <f>-'Economic parameters'!$C$13*'Economic parameters'!$C$22</f>
        <v>-10000</v>
      </c>
      <c r="X35" s="43">
        <f>-'Economic parameters'!$C$13*'Economic parameters'!$C$22</f>
        <v>-10000</v>
      </c>
      <c r="Y35" s="43">
        <f>-'Economic parameters'!$C$13*'Economic parameters'!$C$22</f>
        <v>-10000</v>
      </c>
      <c r="Z35" s="43">
        <f>-'Economic parameters'!$C$13*'Economic parameters'!$C$22</f>
        <v>-10000</v>
      </c>
      <c r="AA35" s="43">
        <f>-'Economic parameters'!$C$13*'Economic parameters'!$C$22</f>
        <v>-10000</v>
      </c>
      <c r="AB35" s="43">
        <f>-'Economic parameters'!$C$13*'Economic parameters'!$C$22</f>
        <v>-10000</v>
      </c>
      <c r="AC35" s="43">
        <f>-'Economic parameters'!$C$13*'Economic parameters'!$C$22</f>
        <v>-10000</v>
      </c>
      <c r="AD35" s="43">
        <f>-'Economic parameters'!$C$13*'Economic parameters'!$C$22</f>
        <v>-10000</v>
      </c>
      <c r="AE35" s="43">
        <f>-'Economic parameters'!$C$13*'Economic parameters'!$C$22</f>
        <v>-10000</v>
      </c>
      <c r="AF35" s="43">
        <f>-'Economic parameters'!$C$13*'Economic parameters'!$C$22</f>
        <v>-10000</v>
      </c>
      <c r="AG35" s="43">
        <f>-'Economic parameters'!$C$13*'Economic parameters'!$C$22</f>
        <v>-10000</v>
      </c>
      <c r="AH35" s="43">
        <f>-'Economic parameters'!$C$13*'Economic parameters'!$C$22</f>
        <v>-10000</v>
      </c>
      <c r="AI35" s="43">
        <f>-'Economic parameters'!$C$13*'Economic parameters'!$C$22</f>
        <v>-10000</v>
      </c>
      <c r="AJ35" s="43">
        <f>-'Economic parameters'!$C$13*'Economic parameters'!$C$22</f>
        <v>-10000</v>
      </c>
      <c r="AK35" s="43">
        <f>-'Economic parameters'!$C$13*'Economic parameters'!$C$22</f>
        <v>-10000</v>
      </c>
      <c r="AL35" s="43">
        <f>-'Economic parameters'!$C$13*'Economic parameters'!$C$22</f>
        <v>-10000</v>
      </c>
      <c r="AM35" s="43">
        <f>-'Economic parameters'!$C$13*'Economic parameters'!$C$22</f>
        <v>-10000</v>
      </c>
      <c r="AN35" s="43">
        <f>-'Economic parameters'!$C$13*'Economic parameters'!$C$22</f>
        <v>-10000</v>
      </c>
      <c r="AO35" s="43">
        <f>-'Economic parameters'!$C$13*'Economic parameters'!$C$22</f>
        <v>-10000</v>
      </c>
      <c r="AP35" s="43">
        <f>-'Economic parameters'!$C$13*'Economic parameters'!$C$22</f>
        <v>-10000</v>
      </c>
      <c r="AQ35" s="43">
        <f>-'Economic parameters'!$C$13*'Economic parameters'!$C$22</f>
        <v>-10000</v>
      </c>
      <c r="AR35" s="43">
        <f>-'Economic parameters'!$C$13*'Economic parameters'!$C$22</f>
        <v>-10000</v>
      </c>
      <c r="AS35" s="43">
        <f>-'Economic parameters'!$C$13*'Economic parameters'!$C$22</f>
        <v>-10000</v>
      </c>
      <c r="AT35" s="43">
        <f>-'Economic parameters'!$C$13*'Economic parameters'!$C$22</f>
        <v>-10000</v>
      </c>
      <c r="AU35" s="43">
        <f>-'Economic parameters'!$C$13*'Economic parameters'!$C$22</f>
        <v>-10000</v>
      </c>
      <c r="AV35" s="43">
        <f>-'Economic parameters'!$C$13*'Economic parameters'!$C$22</f>
        <v>-10000</v>
      </c>
      <c r="AW35" s="43">
        <f>-'Economic parameters'!$C$13*'Economic parameters'!$C$22</f>
        <v>-10000</v>
      </c>
      <c r="AX35" s="43">
        <f>-'Economic parameters'!$C$13*'Economic parameters'!$C$22</f>
        <v>-10000</v>
      </c>
      <c r="AY35" s="43">
        <f>-'Economic parameters'!$C$13*'Economic parameters'!$C$22</f>
        <v>-10000</v>
      </c>
      <c r="AZ35" s="43">
        <f>-'Economic parameters'!$C$13*'Economic parameters'!$C$22</f>
        <v>-10000</v>
      </c>
      <c r="BA35" s="43">
        <f>-'Economic parameters'!$C$13*'Economic parameters'!$C$22</f>
        <v>-10000</v>
      </c>
      <c r="BB35" s="43">
        <f>-'Economic parameters'!$C$13*'Economic parameters'!$C$22</f>
        <v>-10000</v>
      </c>
      <c r="BC35" s="43">
        <f>-'Economic parameters'!$C$13*'Economic parameters'!$C$22</f>
        <v>-10000</v>
      </c>
      <c r="BD35" s="43">
        <f>-'Economic parameters'!$C$13*'Economic parameters'!$C$22</f>
        <v>-10000</v>
      </c>
      <c r="BE35" s="43">
        <f>-'Economic parameters'!$C$13*'Economic parameters'!$C$22</f>
        <v>-10000</v>
      </c>
    </row>
    <row r="36" spans="3:57" ht="14.7" customHeight="1">
      <c r="C36" s="403"/>
      <c r="D36" s="100" t="s">
        <v>173</v>
      </c>
      <c r="E36" s="42"/>
      <c r="F36" s="42"/>
      <c r="G36" s="42"/>
      <c r="H36" s="104">
        <f>H35/((1+'Economic parameters'!$C$40)^'Cash-Flow Model'!H5)</f>
        <v>-8530.6830857983932</v>
      </c>
      <c r="I36" s="104">
        <f>I35/((1+'Economic parameters'!$C$40)^'Cash-Flow Model'!I5)</f>
        <v>-8090.5567960910403</v>
      </c>
      <c r="J36" s="104">
        <f>J35/((1+'Economic parameters'!$C$40)^'Cash-Flow Model'!J5)</f>
        <v>-7673.1380843048564</v>
      </c>
      <c r="K36" s="104">
        <f>K35/((1+'Economic parameters'!$C$40)^'Cash-Flow Model'!K5)</f>
        <v>-7277.2553910326787</v>
      </c>
      <c r="L36" s="104">
        <f>L35/((1+'Economic parameters'!$C$40)^'Cash-Flow Model'!L5)</f>
        <v>-6901.7976015105078</v>
      </c>
      <c r="M36" s="104">
        <f>M35/((1+'Economic parameters'!$C$40)^'Cash-Flow Model'!M5)</f>
        <v>-6545.7109270774918</v>
      </c>
      <c r="N36" s="104">
        <f>N35/((1+'Economic parameters'!$C$40)^'Cash-Flow Model'!N5)</f>
        <v>-6207.9959475317637</v>
      </c>
      <c r="O36" s="104">
        <f>O35/((1+'Economic parameters'!$C$40)^'Cash-Flow Model'!O5)</f>
        <v>-5887.7048060809602</v>
      </c>
      <c r="P36" s="104">
        <f>P35/((1+'Economic parameters'!$C$40)^'Cash-Flow Model'!P5)</f>
        <v>-5583.9385490145678</v>
      </c>
      <c r="Q36" s="104">
        <f>Q35/((1+'Economic parameters'!$C$40)^'Cash-Flow Model'!Q5)</f>
        <v>-5295.8446026314186</v>
      </c>
      <c r="R36" s="104">
        <f>R35/((1+'Economic parameters'!$C$40)^'Cash-Flow Model'!R5)</f>
        <v>-5022.614380340875</v>
      </c>
      <c r="S36" s="104">
        <f>S35/((1+'Economic parameters'!$C$40)^'Cash-Flow Model'!S5)</f>
        <v>-4763.4810132216198</v>
      </c>
      <c r="T36" s="104">
        <f>T35/((1+'Economic parameters'!$C$40)^'Cash-Flow Model'!T5)</f>
        <v>-4517.7171976684558</v>
      </c>
      <c r="U36" s="104">
        <f>U35/((1+'Economic parameters'!$C$40)^'Cash-Flow Model'!U5)</f>
        <v>-4284.6331540861684</v>
      </c>
      <c r="V36" s="104">
        <f>V35/((1+'Economic parameters'!$C$40)^'Cash-Flow Model'!V5)</f>
        <v>-4063.5746909011459</v>
      </c>
      <c r="W36" s="104">
        <f>W35/((1+'Economic parameters'!$C$40)^'Cash-Flow Model'!W5)</f>
        <v>-3853.9213684570805</v>
      </c>
      <c r="X36" s="104">
        <f>X35/((1+'Economic parameters'!$C$40)^'Cash-Flow Model'!X5)</f>
        <v>-3655.0847576413894</v>
      </c>
      <c r="Y36" s="104">
        <f>Y35/((1+'Economic parameters'!$C$40)^'Cash-Flow Model'!Y5)</f>
        <v>-3466.5067883548841</v>
      </c>
      <c r="Z36" s="104">
        <f>Z35/((1+'Economic parameters'!$C$40)^'Cash-Flow Model'!Z5)</f>
        <v>-3287.6581831893809</v>
      </c>
      <c r="AA36" s="104">
        <f>AA35/((1+'Economic parameters'!$C$40)^'Cash-Flow Model'!AA5)</f>
        <v>-3118.0369719170917</v>
      </c>
      <c r="AB36" s="104">
        <f>AB35/((1+'Economic parameters'!$C$40)^'Cash-Flow Model'!AB5)</f>
        <v>-2957.1670826224317</v>
      </c>
      <c r="AC36" s="104">
        <f>AC35/((1+'Economic parameters'!$C$40)^'Cash-Flow Model'!AC5)</f>
        <v>-2804.5970055220332</v>
      </c>
      <c r="AD36" s="104">
        <f>AD35/((1+'Economic parameters'!$C$40)^'Cash-Flow Model'!AD5)</f>
        <v>-2659.8985257227168</v>
      </c>
      <c r="AE36" s="104">
        <f>AE35/((1+'Economic parameters'!$C$40)^'Cash-Flow Model'!AE5)</f>
        <v>-2522.6655213606955</v>
      </c>
      <c r="AF36" s="104">
        <f>AF35/((1+'Economic parameters'!$C$40)^'Cash-Flow Model'!AF5)</f>
        <v>-2392.5128237487629</v>
      </c>
      <c r="AG36" s="104">
        <f>AG35/((1+'Economic parameters'!$C$40)^'Cash-Flow Model'!AG5)</f>
        <v>-2269.0751363322865</v>
      </c>
      <c r="AH36" s="104">
        <f>AH35/((1+'Economic parameters'!$C$40)^'Cash-Flow Model'!AH5)</f>
        <v>-2152.0060094198466</v>
      </c>
      <c r="AI36" s="104">
        <f>AI35/((1+'Economic parameters'!$C$40)^'Cash-Flow Model'!AI5)</f>
        <v>-2040.9768678109324</v>
      </c>
      <c r="AJ36" s="104">
        <f>AJ35/((1+'Economic parameters'!$C$40)^'Cash-Flow Model'!AJ5)</f>
        <v>-1935.6760885915519</v>
      </c>
      <c r="AK36" s="104">
        <f>AK35/((1+'Economic parameters'!$C$40)^'Cash-Flow Model'!AK5)</f>
        <v>-1835.8081265094384</v>
      </c>
      <c r="AL36" s="104">
        <f>AL35/((1+'Economic parameters'!$C$40)^'Cash-Flow Model'!AL5)</f>
        <v>-1741.09268447405</v>
      </c>
      <c r="AM36" s="104">
        <f>AM35/((1+'Economic parameters'!$C$40)^'Cash-Flow Model'!AM5)</f>
        <v>-1651.2639268532341</v>
      </c>
      <c r="AN36" s="104">
        <f>AN35/((1+'Economic parameters'!$C$40)^'Cash-Flow Model'!AN5)</f>
        <v>-1566.0697333585304</v>
      </c>
      <c r="AO36" s="104">
        <f>AO35/((1+'Economic parameters'!$C$40)^'Cash-Flow Model'!AO5)</f>
        <v>-1485.2709914250099</v>
      </c>
      <c r="AP36" s="104">
        <f>AP35/((1+'Economic parameters'!$C$40)^'Cash-Flow Model'!AP5)</f>
        <v>-1408.6409250995919</v>
      </c>
      <c r="AQ36" s="104">
        <f>AQ35/((1+'Economic parameters'!$C$40)^'Cash-Flow Model'!AQ5)</f>
        <v>-1335.9644585542414</v>
      </c>
      <c r="AR36" s="104">
        <f>AR35/((1+'Economic parameters'!$C$40)^'Cash-Flow Model'!AR5)</f>
        <v>-1267.0376124376342</v>
      </c>
      <c r="AS36" s="104">
        <f>AS35/((1+'Economic parameters'!$C$40)^'Cash-Flow Model'!AS5)</f>
        <v>-1201.666931371049</v>
      </c>
      <c r="AT36" s="104">
        <f>AT35/((1+'Economic parameters'!$C$40)^'Cash-Flow Model'!AT5)</f>
        <v>-1139.6689409816474</v>
      </c>
      <c r="AU36" s="104">
        <f>AU35/((1+'Economic parameters'!$C$40)^'Cash-Flow Model'!AU5)</f>
        <v>-1080.8696329492104</v>
      </c>
      <c r="AV36" s="104">
        <f>AV35/((1+'Economic parameters'!$C$40)^'Cash-Flow Model'!AV5)</f>
        <v>-1025.1039766210265</v>
      </c>
      <c r="AW36" s="104">
        <f>AW35/((1+'Economic parameters'!$C$40)^'Cash-Flow Model'!AW5)</f>
        <v>-972.21545582419071</v>
      </c>
      <c r="AX36" s="104">
        <f>AX35/((1+'Economic parameters'!$C$40)^'Cash-Flow Model'!AX5)</f>
        <v>-922.05562957529457</v>
      </c>
      <c r="AY36" s="104">
        <f>AY35/((1+'Economic parameters'!$C$40)^'Cash-Flow Model'!AY5)</f>
        <v>-874.48371545456632</v>
      </c>
      <c r="AZ36" s="104">
        <f>AZ35/((1+'Economic parameters'!$C$40)^'Cash-Flow Model'!AZ5)</f>
        <v>-829.36619447511976</v>
      </c>
      <c r="BA36" s="104">
        <f>BA35/((1+'Economic parameters'!$C$40)^'Cash-Flow Model'!BA5)</f>
        <v>-786.57643633831537</v>
      </c>
      <c r="BB36" s="104">
        <f>BB35/((1+'Economic parameters'!$C$40)^'Cash-Flow Model'!BB5)</f>
        <v>-745.99434402344036</v>
      </c>
      <c r="BC36" s="104">
        <f>BC35/((1+'Economic parameters'!$C$40)^'Cash-Flow Model'!BC5)</f>
        <v>-707.50601671418838</v>
      </c>
      <c r="BD36" s="104">
        <f>BD35/((1+'Economic parameters'!$C$40)^'Cash-Flow Model'!BD5)</f>
        <v>-671.00343011588438</v>
      </c>
      <c r="BE36" s="104">
        <f>BE35/((1+'Economic parameters'!$C$40)^'Cash-Flow Model'!BE5)</f>
        <v>-636.38413326620298</v>
      </c>
    </row>
    <row r="37" spans="3:57" ht="18">
      <c r="C37" s="50"/>
      <c r="D37" s="51"/>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row>
    <row r="38" spans="3:57" ht="30.75" customHeight="1">
      <c r="C38" s="401" t="s">
        <v>313</v>
      </c>
      <c r="D38" s="401"/>
      <c r="E38" s="52">
        <f>E29+E35+E31</f>
        <v>0</v>
      </c>
      <c r="F38" s="52">
        <f t="shared" ref="F38:G38" si="8">F29+F35+F31</f>
        <v>0</v>
      </c>
      <c r="G38" s="52">
        <f t="shared" si="8"/>
        <v>0</v>
      </c>
      <c r="H38" s="52">
        <f>H29+H35+H31+H33</f>
        <v>6027787.8443858195</v>
      </c>
      <c r="I38" s="52">
        <f t="shared" ref="I38:BE38" si="9">I29+I35+I31+I33</f>
        <v>6027787.8443858195</v>
      </c>
      <c r="J38" s="52">
        <f t="shared" si="9"/>
        <v>6027787.8443858195</v>
      </c>
      <c r="K38" s="52">
        <f t="shared" si="9"/>
        <v>6027787.8443858195</v>
      </c>
      <c r="L38" s="52">
        <f t="shared" si="9"/>
        <v>6027787.8443858195</v>
      </c>
      <c r="M38" s="52">
        <f t="shared" si="9"/>
        <v>6027787.8443858195</v>
      </c>
      <c r="N38" s="52">
        <f t="shared" si="9"/>
        <v>6027787.8443858195</v>
      </c>
      <c r="O38" s="52">
        <f t="shared" si="9"/>
        <v>6027787.8443858195</v>
      </c>
      <c r="P38" s="52">
        <f t="shared" si="9"/>
        <v>6027787.8443858195</v>
      </c>
      <c r="Q38" s="52">
        <f t="shared" si="9"/>
        <v>6027787.8443858195</v>
      </c>
      <c r="R38" s="52">
        <f t="shared" si="9"/>
        <v>6027787.8443858195</v>
      </c>
      <c r="S38" s="52">
        <f t="shared" si="9"/>
        <v>6027787.8443858195</v>
      </c>
      <c r="T38" s="52">
        <f t="shared" si="9"/>
        <v>6027787.8443858195</v>
      </c>
      <c r="U38" s="52">
        <f t="shared" si="9"/>
        <v>6027787.8443858195</v>
      </c>
      <c r="V38" s="52">
        <f t="shared" si="9"/>
        <v>6027787.8443858195</v>
      </c>
      <c r="W38" s="52">
        <f t="shared" si="9"/>
        <v>6027787.8443858195</v>
      </c>
      <c r="X38" s="52">
        <f t="shared" si="9"/>
        <v>6027787.8443858195</v>
      </c>
      <c r="Y38" s="52">
        <f t="shared" si="9"/>
        <v>6027787.8443858195</v>
      </c>
      <c r="Z38" s="52">
        <f t="shared" si="9"/>
        <v>6027787.8443858195</v>
      </c>
      <c r="AA38" s="52">
        <f t="shared" si="9"/>
        <v>6027787.8443858195</v>
      </c>
      <c r="AB38" s="52">
        <f t="shared" si="9"/>
        <v>6027787.8443858195</v>
      </c>
      <c r="AC38" s="52">
        <f t="shared" si="9"/>
        <v>6027787.8443858195</v>
      </c>
      <c r="AD38" s="52">
        <f t="shared" si="9"/>
        <v>6027787.8443858195</v>
      </c>
      <c r="AE38" s="52">
        <f t="shared" si="9"/>
        <v>6027787.8443858195</v>
      </c>
      <c r="AF38" s="52">
        <f t="shared" si="9"/>
        <v>6027787.8443858195</v>
      </c>
      <c r="AG38" s="52">
        <f t="shared" si="9"/>
        <v>6027787.8443858195</v>
      </c>
      <c r="AH38" s="52">
        <f t="shared" si="9"/>
        <v>6027787.8443858195</v>
      </c>
      <c r="AI38" s="52">
        <f t="shared" si="9"/>
        <v>6027787.8443858195</v>
      </c>
      <c r="AJ38" s="52">
        <f t="shared" si="9"/>
        <v>6027787.8443858195</v>
      </c>
      <c r="AK38" s="52">
        <f t="shared" si="9"/>
        <v>6027787.8443858195</v>
      </c>
      <c r="AL38" s="52">
        <f t="shared" si="9"/>
        <v>6027787.8443858195</v>
      </c>
      <c r="AM38" s="52">
        <f t="shared" si="9"/>
        <v>6027787.8443858195</v>
      </c>
      <c r="AN38" s="52">
        <f t="shared" si="9"/>
        <v>6027787.8443858195</v>
      </c>
      <c r="AO38" s="52">
        <f t="shared" si="9"/>
        <v>6027787.8443858195</v>
      </c>
      <c r="AP38" s="52">
        <f t="shared" si="9"/>
        <v>6027787.8443858195</v>
      </c>
      <c r="AQ38" s="52">
        <f t="shared" si="9"/>
        <v>6027787.8443858195</v>
      </c>
      <c r="AR38" s="52">
        <f t="shared" si="9"/>
        <v>6027787.8443858195</v>
      </c>
      <c r="AS38" s="52">
        <f t="shared" si="9"/>
        <v>6027787.8443858195</v>
      </c>
      <c r="AT38" s="52">
        <f t="shared" si="9"/>
        <v>6027787.8443858195</v>
      </c>
      <c r="AU38" s="52">
        <f t="shared" si="9"/>
        <v>6027787.8443858195</v>
      </c>
      <c r="AV38" s="52">
        <f t="shared" si="9"/>
        <v>6027787.8443858195</v>
      </c>
      <c r="AW38" s="52">
        <f t="shared" si="9"/>
        <v>6027787.8443858195</v>
      </c>
      <c r="AX38" s="52">
        <f t="shared" si="9"/>
        <v>6027787.8443858195</v>
      </c>
      <c r="AY38" s="52">
        <f t="shared" si="9"/>
        <v>6027787.8443858195</v>
      </c>
      <c r="AZ38" s="52">
        <f t="shared" si="9"/>
        <v>6027787.8443858195</v>
      </c>
      <c r="BA38" s="52">
        <f t="shared" si="9"/>
        <v>6027787.8443858195</v>
      </c>
      <c r="BB38" s="52">
        <f t="shared" si="9"/>
        <v>6027787.8443858195</v>
      </c>
      <c r="BC38" s="52">
        <f t="shared" si="9"/>
        <v>6027787.8443858195</v>
      </c>
      <c r="BD38" s="52">
        <f t="shared" si="9"/>
        <v>6027787.8443858195</v>
      </c>
      <c r="BE38" s="52">
        <f t="shared" si="9"/>
        <v>6027787.8443858195</v>
      </c>
    </row>
    <row r="39" spans="3:57" ht="9.75" customHeight="1">
      <c r="C39" s="53"/>
      <c r="D39" s="51"/>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row>
    <row r="40" spans="3:57">
      <c r="C40" s="54"/>
      <c r="D40" s="55" t="s">
        <v>37</v>
      </c>
      <c r="E40" s="56">
        <v>0</v>
      </c>
      <c r="F40" s="56">
        <v>0</v>
      </c>
      <c r="G40" s="56">
        <v>0</v>
      </c>
      <c r="H40" s="56">
        <f>IF(IPMT('Economic parameters'!$C$39,1,'Economic parameters'!$C$9,('Economic parameters'!$C$16*'Economic parameters'!$C$37-(('Economic parameters'!$C$16*'Economic parameters'!$C$37/'Economic parameters'!$C$9)*'Cash-Flow Model'!H6)))&lt;0,IPMT('Economic parameters'!$C$39,1,'Economic parameters'!$C$9,('Economic parameters'!$C$16*'Economic parameters'!$C$37-(('Economic parameters'!$C$16*'Economic parameters'!$C$37/'Economic parameters'!$C$9)*'Cash-Flow Model'!H6))),0)</f>
        <v>-6179900.1403403431</v>
      </c>
      <c r="I40" s="56">
        <f>IF(IPMT('Economic parameters'!$C$39,1,'Economic parameters'!$C$9,('Economic parameters'!$C$16*'Economic parameters'!$C$37-(('Economic parameters'!$C$16*'Economic parameters'!$C$37/'Economic parameters'!$C$9)*'Cash-Flow Model'!I6)))&lt;0,IPMT('Economic parameters'!$C$39,1,'Economic parameters'!$C$9,('Economic parameters'!$C$16*'Economic parameters'!$C$37-(('Economic parameters'!$C$16*'Economic parameters'!$C$37/'Economic parameters'!$C$9)*'Cash-Flow Model'!I6))),0)</f>
        <v>-5922404.3011594955</v>
      </c>
      <c r="J40" s="56">
        <f>IF(IPMT('Economic parameters'!$C$39,1,'Economic parameters'!$C$9,('Economic parameters'!$C$16*'Economic parameters'!$C$37-(('Economic parameters'!$C$16*'Economic parameters'!$C$37/'Economic parameters'!$C$9)*'Cash-Flow Model'!J6)))&lt;0,IPMT('Economic parameters'!$C$39,1,'Economic parameters'!$C$9,('Economic parameters'!$C$16*'Economic parameters'!$C$37-(('Economic parameters'!$C$16*'Economic parameters'!$C$37/'Economic parameters'!$C$9)*'Cash-Flow Model'!J6))),0)</f>
        <v>-5664908.4619786479</v>
      </c>
      <c r="K40" s="56">
        <f>IF(IPMT('Economic parameters'!$C$39,1,'Economic parameters'!$C$9,('Economic parameters'!$C$16*'Economic parameters'!$C$37-(('Economic parameters'!$C$16*'Economic parameters'!$C$37/'Economic parameters'!$C$9)*'Cash-Flow Model'!K6)))&lt;0,IPMT('Economic parameters'!$C$39,1,'Economic parameters'!$C$9,('Economic parameters'!$C$16*'Economic parameters'!$C$37-(('Economic parameters'!$C$16*'Economic parameters'!$C$37/'Economic parameters'!$C$9)*'Cash-Flow Model'!K6))),0)</f>
        <v>-5407412.6227978002</v>
      </c>
      <c r="L40" s="56">
        <f>IF(IPMT('Economic parameters'!$C$39,1,'Economic parameters'!$C$9,('Economic parameters'!$C$16*'Economic parameters'!$C$37-(('Economic parameters'!$C$16*'Economic parameters'!$C$37/'Economic parameters'!$C$9)*'Cash-Flow Model'!L6)))&lt;0,IPMT('Economic parameters'!$C$39,1,'Economic parameters'!$C$9,('Economic parameters'!$C$16*'Economic parameters'!$C$37-(('Economic parameters'!$C$16*'Economic parameters'!$C$37/'Economic parameters'!$C$9)*'Cash-Flow Model'!L6))),0)</f>
        <v>-5149916.7836169517</v>
      </c>
      <c r="M40" s="56">
        <f>IF(IPMT('Economic parameters'!$C$39,1,'Economic parameters'!$C$9,('Economic parameters'!$C$16*'Economic parameters'!$C$37-(('Economic parameters'!$C$16*'Economic parameters'!$C$37/'Economic parameters'!$C$9)*'Cash-Flow Model'!M6)))&lt;0,IPMT('Economic parameters'!$C$39,1,'Economic parameters'!$C$9,('Economic parameters'!$C$16*'Economic parameters'!$C$37-(('Economic parameters'!$C$16*'Economic parameters'!$C$37/'Economic parameters'!$C$9)*'Cash-Flow Model'!M6))),0)</f>
        <v>-4892420.944436105</v>
      </c>
      <c r="N40" s="56">
        <f>IF(IPMT('Economic parameters'!$C$39,1,'Economic parameters'!$C$9,('Economic parameters'!$C$16*'Economic parameters'!$C$37-(('Economic parameters'!$C$16*'Economic parameters'!$C$37/'Economic parameters'!$C$9)*'Cash-Flow Model'!N6)))&lt;0,IPMT('Economic parameters'!$C$39,1,'Economic parameters'!$C$9,('Economic parameters'!$C$16*'Economic parameters'!$C$37-(('Economic parameters'!$C$16*'Economic parameters'!$C$37/'Economic parameters'!$C$9)*'Cash-Flow Model'!N6))),0)</f>
        <v>-4634925.1052552564</v>
      </c>
      <c r="O40" s="56">
        <f>IF(IPMT('Economic parameters'!$C$39,1,'Economic parameters'!$C$9,('Economic parameters'!$C$16*'Economic parameters'!$C$37-(('Economic parameters'!$C$16*'Economic parameters'!$C$37/'Economic parameters'!$C$9)*'Cash-Flow Model'!O6)))&lt;0,IPMT('Economic parameters'!$C$39,1,'Economic parameters'!$C$9,('Economic parameters'!$C$16*'Economic parameters'!$C$37-(('Economic parameters'!$C$16*'Economic parameters'!$C$37/'Economic parameters'!$C$9)*'Cash-Flow Model'!O6))),0)</f>
        <v>-4377429.2660744097</v>
      </c>
      <c r="P40" s="56">
        <f>IF(IPMT('Economic parameters'!$C$39,1,'Economic parameters'!$C$9,('Economic parameters'!$C$16*'Economic parameters'!$C$37-(('Economic parameters'!$C$16*'Economic parameters'!$C$37/'Economic parameters'!$C$9)*'Cash-Flow Model'!P6)))&lt;0,IPMT('Economic parameters'!$C$39,1,'Economic parameters'!$C$9,('Economic parameters'!$C$16*'Economic parameters'!$C$37-(('Economic parameters'!$C$16*'Economic parameters'!$C$37/'Economic parameters'!$C$9)*'Cash-Flow Model'!P6))),0)</f>
        <v>-4119933.4268935611</v>
      </c>
      <c r="Q40" s="56">
        <f>IF(IPMT('Economic parameters'!$C$39,1,'Economic parameters'!$C$9,('Economic parameters'!$C$16*'Economic parameters'!$C$37-(('Economic parameters'!$C$16*'Economic parameters'!$C$37/'Economic parameters'!$C$9)*'Cash-Flow Model'!Q6)))&lt;0,IPMT('Economic parameters'!$C$39,1,'Economic parameters'!$C$9,('Economic parameters'!$C$16*'Economic parameters'!$C$37-(('Economic parameters'!$C$16*'Economic parameters'!$C$37/'Economic parameters'!$C$9)*'Cash-Flow Model'!Q6))),0)</f>
        <v>-3862437.587712714</v>
      </c>
      <c r="R40" s="56">
        <f>IF(IPMT('Economic parameters'!$C$39,1,'Economic parameters'!$C$9,('Economic parameters'!$C$16*'Economic parameters'!$C$37-(('Economic parameters'!$C$16*'Economic parameters'!$C$37/'Economic parameters'!$C$9)*'Cash-Flow Model'!R6)))&lt;0,IPMT('Economic parameters'!$C$39,1,'Economic parameters'!$C$9,('Economic parameters'!$C$16*'Economic parameters'!$C$37-(('Economic parameters'!$C$16*'Economic parameters'!$C$37/'Economic parameters'!$C$9)*'Cash-Flow Model'!R6))),0)</f>
        <v>-3604941.7485318664</v>
      </c>
      <c r="S40" s="56">
        <f>IF(IPMT('Economic parameters'!$C$39,1,'Economic parameters'!$C$9,('Economic parameters'!$C$16*'Economic parameters'!$C$37-(('Economic parameters'!$C$16*'Economic parameters'!$C$37/'Economic parameters'!$C$9)*'Cash-Flow Model'!S6)))&lt;0,IPMT('Economic parameters'!$C$39,1,'Economic parameters'!$C$9,('Economic parameters'!$C$16*'Economic parameters'!$C$37-(('Economic parameters'!$C$16*'Economic parameters'!$C$37/'Economic parameters'!$C$9)*'Cash-Flow Model'!S6))),0)</f>
        <v>-3347445.9093510192</v>
      </c>
      <c r="T40" s="56">
        <f>IF(IPMT('Economic parameters'!$C$39,1,'Economic parameters'!$C$9,('Economic parameters'!$C$16*'Economic parameters'!$C$37-(('Economic parameters'!$C$16*'Economic parameters'!$C$37/'Economic parameters'!$C$9)*'Cash-Flow Model'!T6)))&lt;0,IPMT('Economic parameters'!$C$39,1,'Economic parameters'!$C$9,('Economic parameters'!$C$16*'Economic parameters'!$C$37-(('Economic parameters'!$C$16*'Economic parameters'!$C$37/'Economic parameters'!$C$9)*'Cash-Flow Model'!T6))),0)</f>
        <v>-3089950.0701701716</v>
      </c>
      <c r="U40" s="56">
        <f>IF(IPMT('Economic parameters'!$C$39,1,'Economic parameters'!$C$9,('Economic parameters'!$C$16*'Economic parameters'!$C$37-(('Economic parameters'!$C$16*'Economic parameters'!$C$37/'Economic parameters'!$C$9)*'Cash-Flow Model'!U6)))&lt;0,IPMT('Economic parameters'!$C$39,1,'Economic parameters'!$C$9,('Economic parameters'!$C$16*'Economic parameters'!$C$37-(('Economic parameters'!$C$16*'Economic parameters'!$C$37/'Economic parameters'!$C$9)*'Cash-Flow Model'!U6))),0)</f>
        <v>-2832454.2309893239</v>
      </c>
      <c r="V40" s="56">
        <f>IF(IPMT('Economic parameters'!$C$39,1,'Economic parameters'!$C$9,('Economic parameters'!$C$16*'Economic parameters'!$C$37-(('Economic parameters'!$C$16*'Economic parameters'!$C$37/'Economic parameters'!$C$9)*'Cash-Flow Model'!V6)))&lt;0,IPMT('Economic parameters'!$C$39,1,'Economic parameters'!$C$9,('Economic parameters'!$C$16*'Economic parameters'!$C$37-(('Economic parameters'!$C$16*'Economic parameters'!$C$37/'Economic parameters'!$C$9)*'Cash-Flow Model'!V6))),0)</f>
        <v>-2574958.3918084758</v>
      </c>
      <c r="W40" s="56">
        <f>IF(IPMT('Economic parameters'!$C$39,1,'Economic parameters'!$C$9,('Economic parameters'!$C$16*'Economic parameters'!$C$37-(('Economic parameters'!$C$16*'Economic parameters'!$C$37/'Economic parameters'!$C$9)*'Cash-Flow Model'!W6)))&lt;0,IPMT('Economic parameters'!$C$39,1,'Economic parameters'!$C$9,('Economic parameters'!$C$16*'Economic parameters'!$C$37-(('Economic parameters'!$C$16*'Economic parameters'!$C$37/'Economic parameters'!$C$9)*'Cash-Flow Model'!W6))),0)</f>
        <v>-2317462.5526276282</v>
      </c>
      <c r="X40" s="56">
        <f>IF(IPMT('Economic parameters'!$C$39,1,'Economic parameters'!$C$9,('Economic parameters'!$C$16*'Economic parameters'!$C$37-(('Economic parameters'!$C$16*'Economic parameters'!$C$37/'Economic parameters'!$C$9)*'Cash-Flow Model'!X6)))&lt;0,IPMT('Economic parameters'!$C$39,1,'Economic parameters'!$C$9,('Economic parameters'!$C$16*'Economic parameters'!$C$37-(('Economic parameters'!$C$16*'Economic parameters'!$C$37/'Economic parameters'!$C$9)*'Cash-Flow Model'!X6))),0)</f>
        <v>-2059966.7134467806</v>
      </c>
      <c r="Y40" s="56">
        <f>IF(IPMT('Economic parameters'!$C$39,1,'Economic parameters'!$C$9,('Economic parameters'!$C$16*'Economic parameters'!$C$37-(('Economic parameters'!$C$16*'Economic parameters'!$C$37/'Economic parameters'!$C$9)*'Cash-Flow Model'!Y6)))&lt;0,IPMT('Economic parameters'!$C$39,1,'Economic parameters'!$C$9,('Economic parameters'!$C$16*'Economic parameters'!$C$37-(('Economic parameters'!$C$16*'Economic parameters'!$C$37/'Economic parameters'!$C$9)*'Cash-Flow Model'!Y6))),0)</f>
        <v>-1802470.8742659329</v>
      </c>
      <c r="Z40" s="56">
        <f>IF(IPMT('Economic parameters'!$C$39,1,'Economic parameters'!$C$9,('Economic parameters'!$C$16*'Economic parameters'!$C$37-(('Economic parameters'!$C$16*'Economic parameters'!$C$37/'Economic parameters'!$C$9)*'Cash-Flow Model'!Z6)))&lt;0,IPMT('Economic parameters'!$C$39,1,'Economic parameters'!$C$9,('Economic parameters'!$C$16*'Economic parameters'!$C$37-(('Economic parameters'!$C$16*'Economic parameters'!$C$37/'Economic parameters'!$C$9)*'Cash-Flow Model'!Z6))),0)</f>
        <v>-1544975.0350850853</v>
      </c>
      <c r="AA40" s="56">
        <f>IF(IPMT('Economic parameters'!$C$39,1,'Economic parameters'!$C$9,('Economic parameters'!$C$16*'Economic parameters'!$C$37-(('Economic parameters'!$C$16*'Economic parameters'!$C$37/'Economic parameters'!$C$9)*'Cash-Flow Model'!AA6)))&lt;0,IPMT('Economic parameters'!$C$39,1,'Economic parameters'!$C$9,('Economic parameters'!$C$16*'Economic parameters'!$C$37-(('Economic parameters'!$C$16*'Economic parameters'!$C$37/'Economic parameters'!$C$9)*'Cash-Flow Model'!AA6))),0)</f>
        <v>-1287479.1959042377</v>
      </c>
      <c r="AB40" s="56">
        <f>IF(IPMT('Economic parameters'!$C$39,1,'Economic parameters'!$C$9,('Economic parameters'!$C$16*'Economic parameters'!$C$37-(('Economic parameters'!$C$16*'Economic parameters'!$C$37/'Economic parameters'!$C$9)*'Cash-Flow Model'!AB6)))&lt;0,IPMT('Economic parameters'!$C$39,1,'Economic parameters'!$C$9,('Economic parameters'!$C$16*'Economic parameters'!$C$37-(('Economic parameters'!$C$16*'Economic parameters'!$C$37/'Economic parameters'!$C$9)*'Cash-Flow Model'!AB6))),0)</f>
        <v>-1029983.3567233899</v>
      </c>
      <c r="AC40" s="56">
        <f>IF(IPMT('Economic parameters'!$C$39,1,'Economic parameters'!$C$9,('Economic parameters'!$C$16*'Economic parameters'!$C$37-(('Economic parameters'!$C$16*'Economic parameters'!$C$37/'Economic parameters'!$C$9)*'Cash-Flow Model'!AC6)))&lt;0,IPMT('Economic parameters'!$C$39,1,'Economic parameters'!$C$9,('Economic parameters'!$C$16*'Economic parameters'!$C$37-(('Economic parameters'!$C$16*'Economic parameters'!$C$37/'Economic parameters'!$C$9)*'Cash-Flow Model'!AC6))),0)</f>
        <v>-772487.51754254219</v>
      </c>
      <c r="AD40" s="56">
        <f>IF(IPMT('Economic parameters'!$C$39,1,'Economic parameters'!$C$9,('Economic parameters'!$C$16*'Economic parameters'!$C$37-(('Economic parameters'!$C$16*'Economic parameters'!$C$37/'Economic parameters'!$C$9)*'Cash-Flow Model'!AD6)))&lt;0,IPMT('Economic parameters'!$C$39,1,'Economic parameters'!$C$9,('Economic parameters'!$C$16*'Economic parameters'!$C$37-(('Economic parameters'!$C$16*'Economic parameters'!$C$37/'Economic parameters'!$C$9)*'Cash-Flow Model'!AD6))),0)</f>
        <v>-514991.6783616945</v>
      </c>
      <c r="AE40" s="56">
        <f>IF(IPMT('Economic parameters'!$C$39,1,'Economic parameters'!$C$9,('Economic parameters'!$C$16*'Economic parameters'!$C$37-(('Economic parameters'!$C$16*'Economic parameters'!$C$37/'Economic parameters'!$C$9)*'Cash-Flow Model'!AE6)))&lt;0,IPMT('Economic parameters'!$C$39,1,'Economic parameters'!$C$9,('Economic parameters'!$C$16*'Economic parameters'!$C$37-(('Economic parameters'!$C$16*'Economic parameters'!$C$37/'Economic parameters'!$C$9)*'Cash-Flow Model'!AE6))),0)</f>
        <v>-257495.83918084769</v>
      </c>
      <c r="AF40" s="56">
        <f>IF(IPMT('Economic parameters'!$C$39,1,'Economic parameters'!$C$9,('Economic parameters'!$C$16*'Economic parameters'!$C$37-(('Economic parameters'!$C$16*'Economic parameters'!$C$37/'Economic parameters'!$C$9)*'Cash-Flow Model'!AF6)))&lt;0,IPMT('Economic parameters'!$C$39,1,'Economic parameters'!$C$9,('Economic parameters'!$C$16*'Economic parameters'!$C$37-(('Economic parameters'!$C$16*'Economic parameters'!$C$37/'Economic parameters'!$C$9)*'Cash-Flow Model'!AF6))),0)</f>
        <v>0</v>
      </c>
      <c r="AG40" s="56">
        <f>IF(IPMT('Economic parameters'!$C$39,1,'Economic parameters'!$C$9,('Economic parameters'!$C$16*'Economic parameters'!$C$37-(('Economic parameters'!$C$16*'Economic parameters'!$C$37/'Economic parameters'!$C$9)*'Cash-Flow Model'!AG6)))&lt;0,IPMT('Economic parameters'!$C$39,1,'Economic parameters'!$C$9,('Economic parameters'!$C$16*'Economic parameters'!$C$37-(('Economic parameters'!$C$16*'Economic parameters'!$C$37/'Economic parameters'!$C$9)*'Cash-Flow Model'!AG6))),0)</f>
        <v>0</v>
      </c>
      <c r="AH40" s="56">
        <f>IF(IPMT('Economic parameters'!$C$39,1,'Economic parameters'!$C$9,('Economic parameters'!$C$16*'Economic parameters'!$C$37-(('Economic parameters'!$C$16*'Economic parameters'!$C$37/'Economic parameters'!$C$9)*'Cash-Flow Model'!AH6)))&lt;0,IPMT('Economic parameters'!$C$39,1,'Economic parameters'!$C$9,('Economic parameters'!$C$16*'Economic parameters'!$C$37-(('Economic parameters'!$C$16*'Economic parameters'!$C$37/'Economic parameters'!$C$9)*'Cash-Flow Model'!AH6))),0)</f>
        <v>0</v>
      </c>
      <c r="AI40" s="56">
        <f>IF(IPMT('Economic parameters'!$C$39,1,'Economic parameters'!$C$9,('Economic parameters'!$C$16*'Economic parameters'!$C$37-(('Economic parameters'!$C$16*'Economic parameters'!$C$37/'Economic parameters'!$C$9)*'Cash-Flow Model'!AI6)))&lt;0,IPMT('Economic parameters'!$C$39,1,'Economic parameters'!$C$9,('Economic parameters'!$C$16*'Economic parameters'!$C$37-(('Economic parameters'!$C$16*'Economic parameters'!$C$37/'Economic parameters'!$C$9)*'Cash-Flow Model'!AI6))),0)</f>
        <v>0</v>
      </c>
      <c r="AJ40" s="56">
        <f>IF(IPMT('Economic parameters'!$C$39,1,'Economic parameters'!$C$9,('Economic parameters'!$C$16*'Economic parameters'!$C$37-(('Economic parameters'!$C$16*'Economic parameters'!$C$37/'Economic parameters'!$C$9)*'Cash-Flow Model'!AJ6)))&lt;0,IPMT('Economic parameters'!$C$39,1,'Economic parameters'!$C$9,('Economic parameters'!$C$16*'Economic parameters'!$C$37-(('Economic parameters'!$C$16*'Economic parameters'!$C$37/'Economic parameters'!$C$9)*'Cash-Flow Model'!AJ6))),0)</f>
        <v>0</v>
      </c>
      <c r="AK40" s="56">
        <f>IF(IPMT('Economic parameters'!$C$39,1,'Economic parameters'!$C$9,('Economic parameters'!$C$16*'Economic parameters'!$C$37-(('Economic parameters'!$C$16*'Economic parameters'!$C$37/'Economic parameters'!$C$9)*'Cash-Flow Model'!AK6)))&lt;0,IPMT('Economic parameters'!$C$39,1,'Economic parameters'!$C$9,('Economic parameters'!$C$16*'Economic parameters'!$C$37-(('Economic parameters'!$C$16*'Economic parameters'!$C$37/'Economic parameters'!$C$9)*'Cash-Flow Model'!AK6))),0)</f>
        <v>0</v>
      </c>
      <c r="AL40" s="56">
        <f>IF(IPMT('Economic parameters'!$C$39,1,'Economic parameters'!$C$9,('Economic parameters'!$C$16*'Economic parameters'!$C$37-(('Economic parameters'!$C$16*'Economic parameters'!$C$37/'Economic parameters'!$C$9)*'Cash-Flow Model'!AL6)))&lt;0,IPMT('Economic parameters'!$C$39,1,'Economic parameters'!$C$9,('Economic parameters'!$C$16*'Economic parameters'!$C$37-(('Economic parameters'!$C$16*'Economic parameters'!$C$37/'Economic parameters'!$C$9)*'Cash-Flow Model'!AL6))),0)</f>
        <v>0</v>
      </c>
      <c r="AM40" s="56">
        <f>IF(IPMT('Economic parameters'!$C$39,1,'Economic parameters'!$C$9,('Economic parameters'!$C$16*'Economic parameters'!$C$37-(('Economic parameters'!$C$16*'Economic parameters'!$C$37/'Economic parameters'!$C$9)*'Cash-Flow Model'!AM6)))&lt;0,IPMT('Economic parameters'!$C$39,1,'Economic parameters'!$C$9,('Economic parameters'!$C$16*'Economic parameters'!$C$37-(('Economic parameters'!$C$16*'Economic parameters'!$C$37/'Economic parameters'!$C$9)*'Cash-Flow Model'!AM6))),0)</f>
        <v>0</v>
      </c>
      <c r="AN40" s="56">
        <f>IF(IPMT('Economic parameters'!$C$39,1,'Economic parameters'!$C$9,('Economic parameters'!$C$16*'Economic parameters'!$C$37-(('Economic parameters'!$C$16*'Economic parameters'!$C$37/'Economic parameters'!$C$9)*'Cash-Flow Model'!AN6)))&lt;0,IPMT('Economic parameters'!$C$39,1,'Economic parameters'!$C$9,('Economic parameters'!$C$16*'Economic parameters'!$C$37-(('Economic parameters'!$C$16*'Economic parameters'!$C$37/'Economic parameters'!$C$9)*'Cash-Flow Model'!AN6))),0)</f>
        <v>0</v>
      </c>
      <c r="AO40" s="56">
        <f>IF(IPMT('Economic parameters'!$C$39,1,'Economic parameters'!$C$9,('Economic parameters'!$C$16*'Economic parameters'!$C$37-(('Economic parameters'!$C$16*'Economic parameters'!$C$37/'Economic parameters'!$C$9)*'Cash-Flow Model'!AO6)))&lt;0,IPMT('Economic parameters'!$C$39,1,'Economic parameters'!$C$9,('Economic parameters'!$C$16*'Economic parameters'!$C$37-(('Economic parameters'!$C$16*'Economic parameters'!$C$37/'Economic parameters'!$C$9)*'Cash-Flow Model'!AO6))),0)</f>
        <v>0</v>
      </c>
      <c r="AP40" s="56">
        <f>IF(IPMT('Economic parameters'!$C$39,1,'Economic parameters'!$C$9,('Economic parameters'!$C$16*'Economic parameters'!$C$37-(('Economic parameters'!$C$16*'Economic parameters'!$C$37/'Economic parameters'!$C$9)*'Cash-Flow Model'!AP6)))&lt;0,IPMT('Economic parameters'!$C$39,1,'Economic parameters'!$C$9,('Economic parameters'!$C$16*'Economic parameters'!$C$37-(('Economic parameters'!$C$16*'Economic parameters'!$C$37/'Economic parameters'!$C$9)*'Cash-Flow Model'!AP6))),0)</f>
        <v>0</v>
      </c>
      <c r="AQ40" s="56">
        <f>IF(IPMT('Economic parameters'!$C$39,1,'Economic parameters'!$C$9,('Economic parameters'!$C$16*'Economic parameters'!$C$37-(('Economic parameters'!$C$16*'Economic parameters'!$C$37/'Economic parameters'!$C$9)*'Cash-Flow Model'!AQ6)))&lt;0,IPMT('Economic parameters'!$C$39,1,'Economic parameters'!$C$9,('Economic parameters'!$C$16*'Economic parameters'!$C$37-(('Economic parameters'!$C$16*'Economic parameters'!$C$37/'Economic parameters'!$C$9)*'Cash-Flow Model'!AQ6))),0)</f>
        <v>0</v>
      </c>
      <c r="AR40" s="56">
        <f>IF(IPMT('Economic parameters'!$C$39,1,'Economic parameters'!$C$9,('Economic parameters'!$C$16*'Economic parameters'!$C$37-(('Economic parameters'!$C$16*'Economic parameters'!$C$37/'Economic parameters'!$C$9)*'Cash-Flow Model'!AR6)))&lt;0,IPMT('Economic parameters'!$C$39,1,'Economic parameters'!$C$9,('Economic parameters'!$C$16*'Economic parameters'!$C$37-(('Economic parameters'!$C$16*'Economic parameters'!$C$37/'Economic parameters'!$C$9)*'Cash-Flow Model'!AR6))),0)</f>
        <v>0</v>
      </c>
      <c r="AS40" s="56">
        <f>IF(IPMT('Economic parameters'!$C$39,1,'Economic parameters'!$C$9,('Economic parameters'!$C$16*'Economic parameters'!$C$37-(('Economic parameters'!$C$16*'Economic parameters'!$C$37/'Economic parameters'!$C$9)*'Cash-Flow Model'!AS6)))&lt;0,IPMT('Economic parameters'!$C$39,1,'Economic parameters'!$C$9,('Economic parameters'!$C$16*'Economic parameters'!$C$37-(('Economic parameters'!$C$16*'Economic parameters'!$C$37/'Economic parameters'!$C$9)*'Cash-Flow Model'!AS6))),0)</f>
        <v>0</v>
      </c>
      <c r="AT40" s="56">
        <f>IF(IPMT('Economic parameters'!$C$39,1,'Economic parameters'!$C$9,('Economic parameters'!$C$16*'Economic parameters'!$C$37-(('Economic parameters'!$C$16*'Economic parameters'!$C$37/'Economic parameters'!$C$9)*'Cash-Flow Model'!AT6)))&lt;0,IPMT('Economic parameters'!$C$39,1,'Economic parameters'!$C$9,('Economic parameters'!$C$16*'Economic parameters'!$C$37-(('Economic parameters'!$C$16*'Economic parameters'!$C$37/'Economic parameters'!$C$9)*'Cash-Flow Model'!AT6))),0)</f>
        <v>0</v>
      </c>
      <c r="AU40" s="56">
        <f>IF(IPMT('Economic parameters'!$C$39,1,'Economic parameters'!$C$9,('Economic parameters'!$C$16*'Economic parameters'!$C$37-(('Economic parameters'!$C$16*'Economic parameters'!$C$37/'Economic parameters'!$C$9)*'Cash-Flow Model'!AU6)))&lt;0,IPMT('Economic parameters'!$C$39,1,'Economic parameters'!$C$9,('Economic parameters'!$C$16*'Economic parameters'!$C$37-(('Economic parameters'!$C$16*'Economic parameters'!$C$37/'Economic parameters'!$C$9)*'Cash-Flow Model'!AU6))),0)</f>
        <v>0</v>
      </c>
      <c r="AV40" s="56">
        <f>IF(IPMT('Economic parameters'!$C$39,1,'Economic parameters'!$C$9,('Economic parameters'!$C$16*'Economic parameters'!$C$37-(('Economic parameters'!$C$16*'Economic parameters'!$C$37/'Economic parameters'!$C$9)*'Cash-Flow Model'!AV6)))&lt;0,IPMT('Economic parameters'!$C$39,1,'Economic parameters'!$C$9,('Economic parameters'!$C$16*'Economic parameters'!$C$37-(('Economic parameters'!$C$16*'Economic parameters'!$C$37/'Economic parameters'!$C$9)*'Cash-Flow Model'!AV6))),0)</f>
        <v>0</v>
      </c>
      <c r="AW40" s="56">
        <f>IF(IPMT('Economic parameters'!$C$39,1,'Economic parameters'!$C$9,('Economic parameters'!$C$16*'Economic parameters'!$C$37-(('Economic parameters'!$C$16*'Economic parameters'!$C$37/'Economic parameters'!$C$9)*'Cash-Flow Model'!AW6)))&lt;0,IPMT('Economic parameters'!$C$39,1,'Economic parameters'!$C$9,('Economic parameters'!$C$16*'Economic parameters'!$C$37-(('Economic parameters'!$C$16*'Economic parameters'!$C$37/'Economic parameters'!$C$9)*'Cash-Flow Model'!AW6))),0)</f>
        <v>0</v>
      </c>
      <c r="AX40" s="56">
        <f>IF(IPMT('Economic parameters'!$C$39,1,'Economic parameters'!$C$9,('Economic parameters'!$C$16*'Economic parameters'!$C$37-(('Economic parameters'!$C$16*'Economic parameters'!$C$37/'Economic parameters'!$C$9)*'Cash-Flow Model'!AX6)))&lt;0,IPMT('Economic parameters'!$C$39,1,'Economic parameters'!$C$9,('Economic parameters'!$C$16*'Economic parameters'!$C$37-(('Economic parameters'!$C$16*'Economic parameters'!$C$37/'Economic parameters'!$C$9)*'Cash-Flow Model'!AX6))),0)</f>
        <v>0</v>
      </c>
      <c r="AY40" s="56">
        <f>IF(IPMT('Economic parameters'!$C$39,1,'Economic parameters'!$C$9,('Economic parameters'!$C$16*'Economic parameters'!$C$37-(('Economic parameters'!$C$16*'Economic parameters'!$C$37/'Economic parameters'!$C$9)*'Cash-Flow Model'!AY6)))&lt;0,IPMT('Economic parameters'!$C$39,1,'Economic parameters'!$C$9,('Economic parameters'!$C$16*'Economic parameters'!$C$37-(('Economic parameters'!$C$16*'Economic parameters'!$C$37/'Economic parameters'!$C$9)*'Cash-Flow Model'!AY6))),0)</f>
        <v>0</v>
      </c>
      <c r="AZ40" s="56">
        <f>IF(IPMT('Economic parameters'!$C$39,1,'Economic parameters'!$C$9,('Economic parameters'!$C$16*'Economic parameters'!$C$37-(('Economic parameters'!$C$16*'Economic parameters'!$C$37/'Economic parameters'!$C$9)*'Cash-Flow Model'!AZ6)))&lt;0,IPMT('Economic parameters'!$C$39,1,'Economic parameters'!$C$9,('Economic parameters'!$C$16*'Economic parameters'!$C$37-(('Economic parameters'!$C$16*'Economic parameters'!$C$37/'Economic parameters'!$C$9)*'Cash-Flow Model'!AZ6))),0)</f>
        <v>0</v>
      </c>
      <c r="BA40" s="56">
        <f>IF(IPMT('Economic parameters'!$C$39,1,'Economic parameters'!$C$9,('Economic parameters'!$C$16*'Economic parameters'!$C$37-(('Economic parameters'!$C$16*'Economic parameters'!$C$37/'Economic parameters'!$C$9)*'Cash-Flow Model'!BA6)))&lt;0,IPMT('Economic parameters'!$C$39,1,'Economic parameters'!$C$9,('Economic parameters'!$C$16*'Economic parameters'!$C$37-(('Economic parameters'!$C$16*'Economic parameters'!$C$37/'Economic parameters'!$C$9)*'Cash-Flow Model'!BA6))),0)</f>
        <v>0</v>
      </c>
      <c r="BB40" s="56">
        <f>IF(IPMT('Economic parameters'!$C$39,1,'Economic parameters'!$C$9,('Economic parameters'!$C$16*'Economic parameters'!$C$37-(('Economic parameters'!$C$16*'Economic parameters'!$C$37/'Economic parameters'!$C$9)*'Cash-Flow Model'!BB6)))&lt;0,IPMT('Economic parameters'!$C$39,1,'Economic parameters'!$C$9,('Economic parameters'!$C$16*'Economic parameters'!$C$37-(('Economic parameters'!$C$16*'Economic parameters'!$C$37/'Economic parameters'!$C$9)*'Cash-Flow Model'!BB6))),0)</f>
        <v>0</v>
      </c>
      <c r="BC40" s="56">
        <f>IF(IPMT('Economic parameters'!$C$39,1,'Economic parameters'!$C$9,('Economic parameters'!$C$16*'Economic parameters'!$C$37-(('Economic parameters'!$C$16*'Economic parameters'!$C$37/'Economic parameters'!$C$9)*'Cash-Flow Model'!BC6)))&lt;0,IPMT('Economic parameters'!$C$39,1,'Economic parameters'!$C$9,('Economic parameters'!$C$16*'Economic parameters'!$C$37-(('Economic parameters'!$C$16*'Economic parameters'!$C$37/'Economic parameters'!$C$9)*'Cash-Flow Model'!BC6))),0)</f>
        <v>0</v>
      </c>
      <c r="BD40" s="56">
        <f>IF(IPMT('Economic parameters'!$C$39,1,'Economic parameters'!$C$9,('Economic parameters'!$C$16*'Economic parameters'!$C$37-(('Economic parameters'!$C$16*'Economic parameters'!$C$37/'Economic parameters'!$C$9)*'Cash-Flow Model'!BD6)))&lt;0,IPMT('Economic parameters'!$C$39,1,'Economic parameters'!$C$9,('Economic parameters'!$C$16*'Economic parameters'!$C$37-(('Economic parameters'!$C$16*'Economic parameters'!$C$37/'Economic parameters'!$C$9)*'Cash-Flow Model'!BD6))),0)</f>
        <v>0</v>
      </c>
      <c r="BE40" s="56">
        <f>IF(IPMT('Economic parameters'!$C$39,1,'Economic parameters'!$C$9,('Economic parameters'!$C$16*'Economic parameters'!$C$37-(('Economic parameters'!$C$16*'Economic parameters'!$C$37/'Economic parameters'!$C$9)*'Cash-Flow Model'!BE6)))&lt;0,IPMT('Economic parameters'!$C$39,1,'Economic parameters'!$C$9,('Economic parameters'!$C$16*'Economic parameters'!$C$37-(('Economic parameters'!$C$16*'Economic parameters'!$C$37/'Economic parameters'!$C$9)*'Cash-Flow Model'!BE6))),0)</f>
        <v>0</v>
      </c>
    </row>
    <row r="41" spans="3:57">
      <c r="C41" s="54"/>
      <c r="D41" s="55" t="s">
        <v>149</v>
      </c>
      <c r="E41" s="56">
        <v>0</v>
      </c>
      <c r="F41" s="56">
        <v>0</v>
      </c>
      <c r="G41" s="56">
        <v>0</v>
      </c>
      <c r="H41" s="56">
        <f>IF(-SUM($E$41:G41)&lt;'Economic parameters'!$C$16,-SLN('Economic parameters'!$C$16,0,'Economic parameters'!$C$9),0)</f>
        <v>-17166389.278723177</v>
      </c>
      <c r="I41" s="56">
        <f>IF(-SUM($E$41:H41)&lt;'Economic parameters'!$C$16,-SLN('Economic parameters'!$C$16,0,'Economic parameters'!$C$9),0)</f>
        <v>-17166389.278723177</v>
      </c>
      <c r="J41" s="56">
        <f>IF(-SUM($E$41:I41)&lt;'Economic parameters'!$C$16,-SLN('Economic parameters'!$C$16,0,'Economic parameters'!$C$9),0)</f>
        <v>-17166389.278723177</v>
      </c>
      <c r="K41" s="56">
        <f>IF(-SUM($E$41:J41)&lt;'Economic parameters'!$C$16,-SLN('Economic parameters'!$C$16,0,'Economic parameters'!$C$9),0)</f>
        <v>-17166389.278723177</v>
      </c>
      <c r="L41" s="56">
        <f>IF(-SUM($E$41:K41)&lt;'Economic parameters'!$C$16,-SLN('Economic parameters'!$C$16,0,'Economic parameters'!$C$9),0)</f>
        <v>-17166389.278723177</v>
      </c>
      <c r="M41" s="56">
        <f>IF(-SUM($E$41:L41)&lt;'Economic parameters'!$C$16,-SLN('Economic parameters'!$C$16,0,'Economic parameters'!$C$9),0)</f>
        <v>-17166389.278723177</v>
      </c>
      <c r="N41" s="56">
        <f>IF(-SUM($E$41:M41)&lt;'Economic parameters'!$C$16,-SLN('Economic parameters'!$C$16,0,'Economic parameters'!$C$9),0)</f>
        <v>-17166389.278723177</v>
      </c>
      <c r="O41" s="56">
        <f>IF(-SUM($E$41:N41)&lt;'Economic parameters'!$C$16,-SLN('Economic parameters'!$C$16,0,'Economic parameters'!$C$9),0)</f>
        <v>-17166389.278723177</v>
      </c>
      <c r="P41" s="56">
        <f>IF(-SUM($E$41:O41)&lt;'Economic parameters'!$C$16,-SLN('Economic parameters'!$C$16,0,'Economic parameters'!$C$9),0)</f>
        <v>-17166389.278723177</v>
      </c>
      <c r="Q41" s="56">
        <f>IF(-SUM($E$41:P41)&lt;'Economic parameters'!$C$16,-SLN('Economic parameters'!$C$16,0,'Economic parameters'!$C$9),0)</f>
        <v>-17166389.278723177</v>
      </c>
      <c r="R41" s="56">
        <f>IF(-SUM($E$41:Q41)&lt;'Economic parameters'!$C$16,-SLN('Economic parameters'!$C$16,0,'Economic parameters'!$C$9),0)</f>
        <v>-17166389.278723177</v>
      </c>
      <c r="S41" s="56">
        <f>IF(-SUM($E$41:R41)&lt;'Economic parameters'!$C$16,-SLN('Economic parameters'!$C$16,0,'Economic parameters'!$C$9),0)</f>
        <v>-17166389.278723177</v>
      </c>
      <c r="T41" s="56">
        <f>IF(-SUM($E$41:S41)&lt;'Economic parameters'!$C$16,-SLN('Economic parameters'!$C$16,0,'Economic parameters'!$C$9),0)</f>
        <v>-17166389.278723177</v>
      </c>
      <c r="U41" s="56">
        <f>IF(-SUM($E$41:T41)&lt;'Economic parameters'!$C$16,-SLN('Economic parameters'!$C$16,0,'Economic parameters'!$C$9),0)</f>
        <v>-17166389.278723177</v>
      </c>
      <c r="V41" s="56">
        <f>IF(-SUM($E$41:U41)&lt;'Economic parameters'!$C$16,-SLN('Economic parameters'!$C$16,0,'Economic parameters'!$C$9),0)</f>
        <v>-17166389.278723177</v>
      </c>
      <c r="W41" s="56">
        <f>IF(-SUM($E$41:V41)&lt;'Economic parameters'!$C$16,-SLN('Economic parameters'!$C$16,0,'Economic parameters'!$C$9),0)</f>
        <v>-17166389.278723177</v>
      </c>
      <c r="X41" s="56">
        <f>IF(-SUM($E$41:W41)&lt;'Economic parameters'!$C$16,-SLN('Economic parameters'!$C$16,0,'Economic parameters'!$C$9),0)</f>
        <v>-17166389.278723177</v>
      </c>
      <c r="Y41" s="56">
        <f>IF(-SUM($E$41:X41)&lt;'Economic parameters'!$C$16,-SLN('Economic parameters'!$C$16,0,'Economic parameters'!$C$9),0)</f>
        <v>-17166389.278723177</v>
      </c>
      <c r="Z41" s="56">
        <f>IF(-SUM($E$41:Y41)&lt;'Economic parameters'!$C$16,-SLN('Economic parameters'!$C$16,0,'Economic parameters'!$C$9),0)</f>
        <v>-17166389.278723177</v>
      </c>
      <c r="AA41" s="56">
        <f>IF(-SUM($E$41:Z41)&lt;'Economic parameters'!$C$16,-SLN('Economic parameters'!$C$16,0,'Economic parameters'!$C$9),0)</f>
        <v>-17166389.278723177</v>
      </c>
      <c r="AB41" s="56">
        <f>IF(-SUM($E$41:AA41)&lt;'Economic parameters'!$C$16,-SLN('Economic parameters'!$C$16,0,'Economic parameters'!$C$9),0)</f>
        <v>-17166389.278723177</v>
      </c>
      <c r="AC41" s="56">
        <f>IF(-SUM($E$41:AB41)&lt;'Economic parameters'!$C$16,-SLN('Economic parameters'!$C$16,0,'Economic parameters'!$C$9),0)</f>
        <v>-17166389.278723177</v>
      </c>
      <c r="AD41" s="56">
        <f>IF(-SUM($E$41:AC41)&lt;'Economic parameters'!$C$16,-SLN('Economic parameters'!$C$16,0,'Economic parameters'!$C$9),0)</f>
        <v>-17166389.278723177</v>
      </c>
      <c r="AE41" s="56">
        <f>IF(-SUM($E$41:AD41)&lt;'Economic parameters'!$C$16,-SLN('Economic parameters'!$C$16,0,'Economic parameters'!$C$9),0)</f>
        <v>-17166389.278723177</v>
      </c>
      <c r="AF41" s="56">
        <f>IF(-SUM($E$41:AE41)&lt;'Economic parameters'!$C$16,-SLN('Economic parameters'!$C$16,0,'Economic parameters'!$C$9),0)</f>
        <v>-17166389.278723177</v>
      </c>
      <c r="AG41" s="56">
        <f>IF(-SUM($E$41:AF41)&lt;'Economic parameters'!$C$16,-SLN('Economic parameters'!$C$16,0,'Economic parameters'!$C$9),0)</f>
        <v>0</v>
      </c>
      <c r="AH41" s="56">
        <f>IF(-SUM($E$41:AG41)&lt;'Economic parameters'!$C$16,-SLN('Economic parameters'!$C$16,0,'Economic parameters'!$C$9),0)</f>
        <v>0</v>
      </c>
      <c r="AI41" s="56">
        <f>IF(-SUM($E$41:AH41)&lt;'Economic parameters'!$C$16,-SLN('Economic parameters'!$C$16,0,'Economic parameters'!$C$9),0)</f>
        <v>0</v>
      </c>
      <c r="AJ41" s="56">
        <f>IF(-SUM($E$41:AI41)&lt;'Economic parameters'!$C$16,-SLN('Economic parameters'!$C$16,0,'Economic parameters'!$C$9),0)</f>
        <v>0</v>
      </c>
      <c r="AK41" s="56">
        <f>IF(-SUM($E$41:AJ41)&lt;'Economic parameters'!$C$16,-SLN('Economic parameters'!$C$16,0,'Economic parameters'!$C$9),0)</f>
        <v>0</v>
      </c>
      <c r="AL41" s="56">
        <f>IF(-SUM($E$41:AK41)&lt;'Economic parameters'!$C$16,-SLN('Economic parameters'!$C$16,0,'Economic parameters'!$C$9),0)</f>
        <v>0</v>
      </c>
      <c r="AM41" s="56">
        <f>IF(-SUM($E$41:AL41)&lt;'Economic parameters'!$C$16,-SLN('Economic parameters'!$C$16,0,'Economic parameters'!$C$9),0)</f>
        <v>0</v>
      </c>
      <c r="AN41" s="56">
        <f>IF(-SUM($E$41:AM41)&lt;'Economic parameters'!$C$16,-SLN('Economic parameters'!$C$16,0,'Economic parameters'!$C$9),0)</f>
        <v>0</v>
      </c>
      <c r="AO41" s="56">
        <f>IF(-SUM($E$41:AN41)&lt;'Economic parameters'!$C$16,-SLN('Economic parameters'!$C$16,0,'Economic parameters'!$C$9),0)</f>
        <v>0</v>
      </c>
      <c r="AP41" s="56">
        <f>IF(-SUM($E$41:AO41)&lt;'Economic parameters'!$C$16,-SLN('Economic parameters'!$C$16,0,'Economic parameters'!$C$9),0)</f>
        <v>0</v>
      </c>
      <c r="AQ41" s="56">
        <f>IF(-SUM($E$41:AP41)&lt;'Economic parameters'!$C$16,-SLN('Economic parameters'!$C$16,0,'Economic parameters'!$C$9),0)</f>
        <v>0</v>
      </c>
      <c r="AR41" s="56">
        <f>IF(-SUM($E$41:AQ41)&lt;'Economic parameters'!$C$16,-SLN('Economic parameters'!$C$16,0,'Economic parameters'!$C$9),0)</f>
        <v>0</v>
      </c>
      <c r="AS41" s="56">
        <f>IF(-SUM($E$41:AR41)&lt;'Economic parameters'!$C$16,-SLN('Economic parameters'!$C$16,0,'Economic parameters'!$C$9),0)</f>
        <v>0</v>
      </c>
      <c r="AT41" s="56">
        <f>IF(-SUM($E$41:AS41)&lt;'Economic parameters'!$C$16,-SLN('Economic parameters'!$C$16,0,'Economic parameters'!$C$9),0)</f>
        <v>0</v>
      </c>
      <c r="AU41" s="56">
        <f>IF(-SUM($E$41:AT41)&lt;'Economic parameters'!$C$16,-SLN('Economic parameters'!$C$16,0,'Economic parameters'!$C$9),0)</f>
        <v>0</v>
      </c>
      <c r="AV41" s="56">
        <f>IF(-SUM($E$41:AU41)&lt;'Economic parameters'!$C$16,-SLN('Economic parameters'!$C$16,0,'Economic parameters'!$C$9),0)</f>
        <v>0</v>
      </c>
      <c r="AW41" s="56">
        <f>IF(-SUM($E$41:AV41)&lt;'Economic parameters'!$C$16,-SLN('Economic parameters'!$C$16,0,'Economic parameters'!$C$9),0)</f>
        <v>0</v>
      </c>
      <c r="AX41" s="56">
        <f>IF(-SUM($E$41:AW41)&lt;'Economic parameters'!$C$16,-SLN('Economic parameters'!$C$16,0,'Economic parameters'!$C$9),0)</f>
        <v>0</v>
      </c>
      <c r="AY41" s="56">
        <f>IF(-SUM($E$41:AX41)&lt;'Economic parameters'!$C$16,-SLN('Economic parameters'!$C$16,0,'Economic parameters'!$C$9),0)</f>
        <v>0</v>
      </c>
      <c r="AZ41" s="56">
        <f>IF(-SUM($E$41:AY41)&lt;'Economic parameters'!$C$16,-SLN('Economic parameters'!$C$16,0,'Economic parameters'!$C$9),0)</f>
        <v>0</v>
      </c>
      <c r="BA41" s="56">
        <f>IF(-SUM($E$41:AZ41)&lt;'Economic parameters'!$C$16,-SLN('Economic parameters'!$C$16,0,'Economic parameters'!$C$9),0)</f>
        <v>0</v>
      </c>
      <c r="BB41" s="56">
        <f>IF(-SUM($E$41:BA41)&lt;'Economic parameters'!$C$16,-SLN('Economic parameters'!$C$16,0,'Economic parameters'!$C$9),0)</f>
        <v>0</v>
      </c>
      <c r="BC41" s="56">
        <f>IF(-SUM($E$41:BB41)&lt;'Economic parameters'!$C$16,-SLN('Economic parameters'!$C$16,0,'Economic parameters'!$C$9),0)</f>
        <v>0</v>
      </c>
      <c r="BD41" s="56">
        <f>IF(-SUM($E$41:BC41)&lt;'Economic parameters'!$C$16,-SLN('Economic parameters'!$C$16,0,'Economic parameters'!$C$9),0)</f>
        <v>0</v>
      </c>
      <c r="BE41" s="56">
        <f>IF(-SUM($E$41:BD41)&lt;'Economic parameters'!$C$16,-SLN('Economic parameters'!$C$16,0,'Economic parameters'!$C$9),0)</f>
        <v>0</v>
      </c>
    </row>
    <row r="42" spans="3:57">
      <c r="C42" s="54"/>
      <c r="D42" s="57" t="s">
        <v>314</v>
      </c>
      <c r="E42" s="58">
        <f>E38+E40+E41</f>
        <v>0</v>
      </c>
      <c r="F42" s="58">
        <f t="shared" ref="F42:AK42" si="10">F38+F40+F41</f>
        <v>0</v>
      </c>
      <c r="G42" s="58">
        <f t="shared" si="10"/>
        <v>0</v>
      </c>
      <c r="H42" s="58">
        <f>H38+H40+H41</f>
        <v>-17318501.574677698</v>
      </c>
      <c r="I42" s="58">
        <f t="shared" si="10"/>
        <v>-17061005.735496853</v>
      </c>
      <c r="J42" s="58">
        <f t="shared" si="10"/>
        <v>-16803509.896316007</v>
      </c>
      <c r="K42" s="58">
        <f t="shared" si="10"/>
        <v>-16546014.057135157</v>
      </c>
      <c r="L42" s="58">
        <f t="shared" si="10"/>
        <v>-16288518.217954308</v>
      </c>
      <c r="M42" s="58">
        <f t="shared" si="10"/>
        <v>-16031022.378773462</v>
      </c>
      <c r="N42" s="58">
        <f t="shared" si="10"/>
        <v>-15773526.539592613</v>
      </c>
      <c r="O42" s="58">
        <f t="shared" si="10"/>
        <v>-15516030.700411767</v>
      </c>
      <c r="P42" s="58">
        <f t="shared" si="10"/>
        <v>-15258534.861230917</v>
      </c>
      <c r="Q42" s="58">
        <f t="shared" si="10"/>
        <v>-15001039.022050072</v>
      </c>
      <c r="R42" s="58">
        <f t="shared" si="10"/>
        <v>-14743543.182869224</v>
      </c>
      <c r="S42" s="58">
        <f t="shared" si="10"/>
        <v>-14486047.343688376</v>
      </c>
      <c r="T42" s="58">
        <f t="shared" si="10"/>
        <v>-14228551.504507529</v>
      </c>
      <c r="U42" s="58">
        <f t="shared" si="10"/>
        <v>-13971055.665326681</v>
      </c>
      <c r="V42" s="58">
        <f t="shared" si="10"/>
        <v>-13713559.826145833</v>
      </c>
      <c r="W42" s="58">
        <f t="shared" si="10"/>
        <v>-13456063.986964986</v>
      </c>
      <c r="X42" s="58">
        <f t="shared" si="10"/>
        <v>-13198568.147784138</v>
      </c>
      <c r="Y42" s="58">
        <f t="shared" si="10"/>
        <v>-12941072.30860329</v>
      </c>
      <c r="Z42" s="58">
        <f t="shared" si="10"/>
        <v>-12683576.469422443</v>
      </c>
      <c r="AA42" s="58">
        <f t="shared" si="10"/>
        <v>-12426080.630241595</v>
      </c>
      <c r="AB42" s="58">
        <f t="shared" si="10"/>
        <v>-12168584.791060746</v>
      </c>
      <c r="AC42" s="58">
        <f t="shared" si="10"/>
        <v>-11911088.9518799</v>
      </c>
      <c r="AD42" s="58">
        <f t="shared" si="10"/>
        <v>-11653593.11269905</v>
      </c>
      <c r="AE42" s="58">
        <f t="shared" si="10"/>
        <v>-11396097.273518205</v>
      </c>
      <c r="AF42" s="58">
        <f t="shared" si="10"/>
        <v>-11138601.434337357</v>
      </c>
      <c r="AG42" s="58">
        <f t="shared" si="10"/>
        <v>6027787.8443858195</v>
      </c>
      <c r="AH42" s="58">
        <f t="shared" si="10"/>
        <v>6027787.8443858195</v>
      </c>
      <c r="AI42" s="58">
        <f t="shared" si="10"/>
        <v>6027787.8443858195</v>
      </c>
      <c r="AJ42" s="58">
        <f t="shared" si="10"/>
        <v>6027787.8443858195</v>
      </c>
      <c r="AK42" s="58">
        <f t="shared" si="10"/>
        <v>6027787.8443858195</v>
      </c>
      <c r="AL42" s="58">
        <f t="shared" ref="AL42:BE42" si="11">AL38+AL40+AL41</f>
        <v>6027787.8443858195</v>
      </c>
      <c r="AM42" s="58">
        <f t="shared" si="11"/>
        <v>6027787.8443858195</v>
      </c>
      <c r="AN42" s="58">
        <f t="shared" si="11"/>
        <v>6027787.8443858195</v>
      </c>
      <c r="AO42" s="58">
        <f t="shared" si="11"/>
        <v>6027787.8443858195</v>
      </c>
      <c r="AP42" s="58">
        <f t="shared" si="11"/>
        <v>6027787.8443858195</v>
      </c>
      <c r="AQ42" s="58">
        <f t="shared" si="11"/>
        <v>6027787.8443858195</v>
      </c>
      <c r="AR42" s="58">
        <f t="shared" si="11"/>
        <v>6027787.8443858195</v>
      </c>
      <c r="AS42" s="58">
        <f t="shared" si="11"/>
        <v>6027787.8443858195</v>
      </c>
      <c r="AT42" s="58">
        <f t="shared" si="11"/>
        <v>6027787.8443858195</v>
      </c>
      <c r="AU42" s="58">
        <f t="shared" si="11"/>
        <v>6027787.8443858195</v>
      </c>
      <c r="AV42" s="58">
        <f t="shared" si="11"/>
        <v>6027787.8443858195</v>
      </c>
      <c r="AW42" s="58">
        <f t="shared" si="11"/>
        <v>6027787.8443858195</v>
      </c>
      <c r="AX42" s="58">
        <f t="shared" si="11"/>
        <v>6027787.8443858195</v>
      </c>
      <c r="AY42" s="58">
        <f t="shared" si="11"/>
        <v>6027787.8443858195</v>
      </c>
      <c r="AZ42" s="58">
        <f t="shared" si="11"/>
        <v>6027787.8443858195</v>
      </c>
      <c r="BA42" s="58">
        <f t="shared" si="11"/>
        <v>6027787.8443858195</v>
      </c>
      <c r="BB42" s="58">
        <f t="shared" si="11"/>
        <v>6027787.8443858195</v>
      </c>
      <c r="BC42" s="58">
        <f t="shared" si="11"/>
        <v>6027787.8443858195</v>
      </c>
      <c r="BD42" s="58">
        <f t="shared" si="11"/>
        <v>6027787.8443858195</v>
      </c>
      <c r="BE42" s="58">
        <f t="shared" si="11"/>
        <v>6027787.8443858195</v>
      </c>
    </row>
    <row r="43" spans="3:57">
      <c r="C43" s="402" t="s">
        <v>150</v>
      </c>
      <c r="D43" s="402"/>
      <c r="E43" s="59">
        <f>IF(E42&gt;0,-E42*'Economic parameters'!$C$38,0)</f>
        <v>0</v>
      </c>
      <c r="F43" s="59">
        <f>IF(F42&gt;0,-F42*'Economic parameters'!$C$38,0)</f>
        <v>0</v>
      </c>
      <c r="G43" s="59">
        <f>IF(G42&gt;0,-G42*'Economic parameters'!$C$38,0)</f>
        <v>0</v>
      </c>
      <c r="H43" s="59">
        <f>IF(H42&gt;0,-H42*'Economic parameters'!$C$38,0)</f>
        <v>0</v>
      </c>
      <c r="I43" s="59">
        <f>IF(I42&gt;0,-I42*'Economic parameters'!$C$38,0)</f>
        <v>0</v>
      </c>
      <c r="J43" s="59">
        <f>IF(J42&gt;0,-J42*'Economic parameters'!$C$38,0)</f>
        <v>0</v>
      </c>
      <c r="K43" s="59">
        <f>IF(K42&gt;0,-K42*'Economic parameters'!$C$38,0)</f>
        <v>0</v>
      </c>
      <c r="L43" s="59">
        <f>IF(L42&gt;0,-L42*'Economic parameters'!$C$38,0)</f>
        <v>0</v>
      </c>
      <c r="M43" s="59">
        <f>IF(M42&gt;0,-M42*'Economic parameters'!$C$38,0)</f>
        <v>0</v>
      </c>
      <c r="N43" s="59">
        <f>IF(N42&gt;0,-N42*'Economic parameters'!$C$38,0)</f>
        <v>0</v>
      </c>
      <c r="O43" s="59">
        <f>IF(O42&gt;0,-O42*'Economic parameters'!$C$38,0)</f>
        <v>0</v>
      </c>
      <c r="P43" s="59">
        <f>IF(P42&gt;0,-P42*'Economic parameters'!$C$38,0)</f>
        <v>0</v>
      </c>
      <c r="Q43" s="59">
        <f>IF(Q42&gt;0,-Q42*'Economic parameters'!$C$38,0)</f>
        <v>0</v>
      </c>
      <c r="R43" s="59">
        <f>IF(R42&gt;0,-R42*'Economic parameters'!$C$38,0)</f>
        <v>0</v>
      </c>
      <c r="S43" s="59">
        <f>IF(S42&gt;0,-S42*'Economic parameters'!$C$38,0)</f>
        <v>0</v>
      </c>
      <c r="T43" s="59">
        <f>IF(T42&gt;0,-T42*'Economic parameters'!$C$38,0)</f>
        <v>0</v>
      </c>
      <c r="U43" s="59">
        <f>IF(U42&gt;0,-U42*'Economic parameters'!$C$38,0)</f>
        <v>0</v>
      </c>
      <c r="V43" s="59">
        <f>IF(V42&gt;0,-V42*'Economic parameters'!$C$38,0)</f>
        <v>0</v>
      </c>
      <c r="W43" s="59">
        <f>IF(W42&gt;0,-W42*'Economic parameters'!$C$38,0)</f>
        <v>0</v>
      </c>
      <c r="X43" s="59">
        <f>IF(X42&gt;0,-X42*'Economic parameters'!$C$38,0)</f>
        <v>0</v>
      </c>
      <c r="Y43" s="59">
        <f>IF(Y42&gt;0,-Y42*'Economic parameters'!$C$38,0)</f>
        <v>0</v>
      </c>
      <c r="Z43" s="59">
        <f>IF(Z42&gt;0,-Z42*'Economic parameters'!$C$38,0)</f>
        <v>0</v>
      </c>
      <c r="AA43" s="59">
        <f>IF(AA42&gt;0,-AA42*'Economic parameters'!$C$38,0)</f>
        <v>0</v>
      </c>
      <c r="AB43" s="59">
        <f>IF(AB42&gt;0,-AB42*'Economic parameters'!$C$38,0)</f>
        <v>0</v>
      </c>
      <c r="AC43" s="59">
        <f>IF(AC42&gt;0,-AC42*'Economic parameters'!$C$38,0)</f>
        <v>0</v>
      </c>
      <c r="AD43" s="59">
        <f>IF(AD42&gt;0,-AD42*'Economic parameters'!$C$38,0)</f>
        <v>0</v>
      </c>
      <c r="AE43" s="59">
        <f>IF(AE42&gt;0,-AE42*'Economic parameters'!$C$38,0)</f>
        <v>0</v>
      </c>
      <c r="AF43" s="59">
        <f>IF(AF42&gt;0,-AF42*'Economic parameters'!$C$38,0)</f>
        <v>0</v>
      </c>
      <c r="AG43" s="59">
        <f>IF(AG42&gt;0,-AG42*'Economic parameters'!$C$38,0)</f>
        <v>-1205557.568877164</v>
      </c>
      <c r="AH43" s="59">
        <f>IF(AH42&gt;0,-AH42*'Economic parameters'!$C$38,0)</f>
        <v>-1205557.568877164</v>
      </c>
      <c r="AI43" s="59">
        <f>IF(AI42&gt;0,-AI42*'Economic parameters'!$C$38,0)</f>
        <v>-1205557.568877164</v>
      </c>
      <c r="AJ43" s="59">
        <f>IF(AJ42&gt;0,-AJ42*'Economic parameters'!$C$38,0)</f>
        <v>-1205557.568877164</v>
      </c>
      <c r="AK43" s="59">
        <f>IF(AK42&gt;0,-AK42*'Economic parameters'!$C$38,0)</f>
        <v>-1205557.568877164</v>
      </c>
      <c r="AL43" s="59">
        <f>IF(AL42&gt;0,-AL42*'Economic parameters'!$C$38,0)</f>
        <v>-1205557.568877164</v>
      </c>
      <c r="AM43" s="59">
        <f>IF(AM42&gt;0,-AM42*'Economic parameters'!$C$38,0)</f>
        <v>-1205557.568877164</v>
      </c>
      <c r="AN43" s="59">
        <f>IF(AN42&gt;0,-AN42*'Economic parameters'!$C$38,0)</f>
        <v>-1205557.568877164</v>
      </c>
      <c r="AO43" s="59">
        <f>IF(AO42&gt;0,-AO42*'Economic parameters'!$C$38,0)</f>
        <v>-1205557.568877164</v>
      </c>
      <c r="AP43" s="59">
        <f>IF(AP42&gt;0,-AP42*'Economic parameters'!$C$38,0)</f>
        <v>-1205557.568877164</v>
      </c>
      <c r="AQ43" s="59">
        <f>IF(AQ42&gt;0,-AQ42*'Economic parameters'!$C$38,0)</f>
        <v>-1205557.568877164</v>
      </c>
      <c r="AR43" s="59">
        <f>IF(AR42&gt;0,-AR42*'Economic parameters'!$C$38,0)</f>
        <v>-1205557.568877164</v>
      </c>
      <c r="AS43" s="59">
        <f>IF(AS42&gt;0,-AS42*'Economic parameters'!$C$38,0)</f>
        <v>-1205557.568877164</v>
      </c>
      <c r="AT43" s="59">
        <f>IF(AT42&gt;0,-AT42*'Economic parameters'!$C$38,0)</f>
        <v>-1205557.568877164</v>
      </c>
      <c r="AU43" s="59">
        <f>IF(AU42&gt;0,-AU42*'Economic parameters'!$C$38,0)</f>
        <v>-1205557.568877164</v>
      </c>
      <c r="AV43" s="59">
        <f>IF(AV42&gt;0,-AV42*'Economic parameters'!$C$38,0)</f>
        <v>-1205557.568877164</v>
      </c>
      <c r="AW43" s="59">
        <f>IF(AW42&gt;0,-AW42*'Economic parameters'!$C$38,0)</f>
        <v>-1205557.568877164</v>
      </c>
      <c r="AX43" s="59">
        <f>IF(AX42&gt;0,-AX42*'Economic parameters'!$C$38,0)</f>
        <v>-1205557.568877164</v>
      </c>
      <c r="AY43" s="59">
        <f>IF(AY42&gt;0,-AY42*'Economic parameters'!$C$38,0)</f>
        <v>-1205557.568877164</v>
      </c>
      <c r="AZ43" s="59">
        <f>IF(AZ42&gt;0,-AZ42*'Economic parameters'!$C$38,0)</f>
        <v>-1205557.568877164</v>
      </c>
      <c r="BA43" s="59">
        <f>IF(BA42&gt;0,-BA42*'Economic parameters'!$C$38,0)</f>
        <v>-1205557.568877164</v>
      </c>
      <c r="BB43" s="59">
        <f>IF(BB42&gt;0,-BB42*'Economic parameters'!$C$38,0)</f>
        <v>-1205557.568877164</v>
      </c>
      <c r="BC43" s="59">
        <f>IF(BC42&gt;0,-BC42*'Economic parameters'!$C$38,0)</f>
        <v>-1205557.568877164</v>
      </c>
      <c r="BD43" s="59">
        <f>IF(BD42&gt;0,-BD42*'Economic parameters'!$C$38,0)</f>
        <v>-1205557.568877164</v>
      </c>
      <c r="BE43" s="59">
        <f>IF(BE42&gt;0,-BE42*'Economic parameters'!$C$38,0)</f>
        <v>-1205557.568877164</v>
      </c>
    </row>
    <row r="44" spans="3:57">
      <c r="C44" s="60"/>
      <c r="D44" s="61" t="s">
        <v>151</v>
      </c>
      <c r="E44" s="43">
        <f>E42+E43</f>
        <v>0</v>
      </c>
      <c r="F44" s="43">
        <f t="shared" ref="F44:AK44" si="12">F42+F43</f>
        <v>0</v>
      </c>
      <c r="G44" s="43">
        <f t="shared" si="12"/>
        <v>0</v>
      </c>
      <c r="H44" s="43">
        <f>H42+H43</f>
        <v>-17318501.574677698</v>
      </c>
      <c r="I44" s="43">
        <f t="shared" si="12"/>
        <v>-17061005.735496853</v>
      </c>
      <c r="J44" s="43">
        <f t="shared" si="12"/>
        <v>-16803509.896316007</v>
      </c>
      <c r="K44" s="43">
        <f t="shared" si="12"/>
        <v>-16546014.057135157</v>
      </c>
      <c r="L44" s="43">
        <f t="shared" si="12"/>
        <v>-16288518.217954308</v>
      </c>
      <c r="M44" s="43">
        <f t="shared" si="12"/>
        <v>-16031022.378773462</v>
      </c>
      <c r="N44" s="43">
        <f t="shared" si="12"/>
        <v>-15773526.539592613</v>
      </c>
      <c r="O44" s="43">
        <f t="shared" si="12"/>
        <v>-15516030.700411767</v>
      </c>
      <c r="P44" s="43">
        <f t="shared" si="12"/>
        <v>-15258534.861230917</v>
      </c>
      <c r="Q44" s="43">
        <f t="shared" si="12"/>
        <v>-15001039.022050072</v>
      </c>
      <c r="R44" s="43">
        <f t="shared" si="12"/>
        <v>-14743543.182869224</v>
      </c>
      <c r="S44" s="43">
        <f t="shared" si="12"/>
        <v>-14486047.343688376</v>
      </c>
      <c r="T44" s="43">
        <f t="shared" si="12"/>
        <v>-14228551.504507529</v>
      </c>
      <c r="U44" s="43">
        <f t="shared" si="12"/>
        <v>-13971055.665326681</v>
      </c>
      <c r="V44" s="43">
        <f t="shared" si="12"/>
        <v>-13713559.826145833</v>
      </c>
      <c r="W44" s="43">
        <f t="shared" si="12"/>
        <v>-13456063.986964986</v>
      </c>
      <c r="X44" s="43">
        <f t="shared" si="12"/>
        <v>-13198568.147784138</v>
      </c>
      <c r="Y44" s="43">
        <f t="shared" si="12"/>
        <v>-12941072.30860329</v>
      </c>
      <c r="Z44" s="43">
        <f t="shared" si="12"/>
        <v>-12683576.469422443</v>
      </c>
      <c r="AA44" s="43">
        <f t="shared" si="12"/>
        <v>-12426080.630241595</v>
      </c>
      <c r="AB44" s="43">
        <f t="shared" si="12"/>
        <v>-12168584.791060746</v>
      </c>
      <c r="AC44" s="43">
        <f t="shared" si="12"/>
        <v>-11911088.9518799</v>
      </c>
      <c r="AD44" s="43">
        <f t="shared" si="12"/>
        <v>-11653593.11269905</v>
      </c>
      <c r="AE44" s="43">
        <f t="shared" si="12"/>
        <v>-11396097.273518205</v>
      </c>
      <c r="AF44" s="43">
        <f t="shared" si="12"/>
        <v>-11138601.434337357</v>
      </c>
      <c r="AG44" s="43">
        <f t="shared" si="12"/>
        <v>4822230.2755086552</v>
      </c>
      <c r="AH44" s="43">
        <f t="shared" si="12"/>
        <v>4822230.2755086552</v>
      </c>
      <c r="AI44" s="43">
        <f t="shared" si="12"/>
        <v>4822230.2755086552</v>
      </c>
      <c r="AJ44" s="43">
        <f t="shared" si="12"/>
        <v>4822230.2755086552</v>
      </c>
      <c r="AK44" s="43">
        <f t="shared" si="12"/>
        <v>4822230.2755086552</v>
      </c>
      <c r="AL44" s="43">
        <f t="shared" ref="AL44:BE44" si="13">AL42+AL43</f>
        <v>4822230.2755086552</v>
      </c>
      <c r="AM44" s="43">
        <f t="shared" si="13"/>
        <v>4822230.2755086552</v>
      </c>
      <c r="AN44" s="43">
        <f t="shared" si="13"/>
        <v>4822230.2755086552</v>
      </c>
      <c r="AO44" s="43">
        <f t="shared" si="13"/>
        <v>4822230.2755086552</v>
      </c>
      <c r="AP44" s="43">
        <f t="shared" si="13"/>
        <v>4822230.2755086552</v>
      </c>
      <c r="AQ44" s="43">
        <f t="shared" si="13"/>
        <v>4822230.2755086552</v>
      </c>
      <c r="AR44" s="43">
        <f t="shared" si="13"/>
        <v>4822230.2755086552</v>
      </c>
      <c r="AS44" s="43">
        <f t="shared" si="13"/>
        <v>4822230.2755086552</v>
      </c>
      <c r="AT44" s="43">
        <f t="shared" si="13"/>
        <v>4822230.2755086552</v>
      </c>
      <c r="AU44" s="43">
        <f t="shared" si="13"/>
        <v>4822230.2755086552</v>
      </c>
      <c r="AV44" s="43">
        <f t="shared" si="13"/>
        <v>4822230.2755086552</v>
      </c>
      <c r="AW44" s="43">
        <f t="shared" si="13"/>
        <v>4822230.2755086552</v>
      </c>
      <c r="AX44" s="43">
        <f t="shared" si="13"/>
        <v>4822230.2755086552</v>
      </c>
      <c r="AY44" s="43">
        <f t="shared" si="13"/>
        <v>4822230.2755086552</v>
      </c>
      <c r="AZ44" s="43">
        <f t="shared" si="13"/>
        <v>4822230.2755086552</v>
      </c>
      <c r="BA44" s="43">
        <f t="shared" si="13"/>
        <v>4822230.2755086552</v>
      </c>
      <c r="BB44" s="43">
        <f t="shared" si="13"/>
        <v>4822230.2755086552</v>
      </c>
      <c r="BC44" s="43">
        <f t="shared" si="13"/>
        <v>4822230.2755086552</v>
      </c>
      <c r="BD44" s="43">
        <f t="shared" si="13"/>
        <v>4822230.2755086552</v>
      </c>
      <c r="BE44" s="43">
        <f t="shared" si="13"/>
        <v>4822230.2755086552</v>
      </c>
    </row>
    <row r="45" spans="3:57" ht="7.35" customHeight="1">
      <c r="C45" s="53"/>
      <c r="D45" s="51"/>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row>
    <row r="46" spans="3:57">
      <c r="C46" s="407" t="s">
        <v>104</v>
      </c>
      <c r="D46" s="407"/>
      <c r="E46" s="63">
        <f t="shared" ref="E46:AK46" si="14">E44-E41</f>
        <v>0</v>
      </c>
      <c r="F46" s="63">
        <f t="shared" si="14"/>
        <v>0</v>
      </c>
      <c r="G46" s="63">
        <f t="shared" si="14"/>
        <v>0</v>
      </c>
      <c r="H46" s="63">
        <f>H44-H41</f>
        <v>-152112.29595452175</v>
      </c>
      <c r="I46" s="63">
        <f t="shared" si="14"/>
        <v>105383.54322632402</v>
      </c>
      <c r="J46" s="63">
        <f t="shared" si="14"/>
        <v>362879.38240716979</v>
      </c>
      <c r="K46" s="63">
        <f t="shared" si="14"/>
        <v>620375.22158801928</v>
      </c>
      <c r="L46" s="63">
        <f t="shared" si="14"/>
        <v>877871.06076886877</v>
      </c>
      <c r="M46" s="63">
        <f t="shared" si="14"/>
        <v>1135366.8999497145</v>
      </c>
      <c r="N46" s="63">
        <f t="shared" si="14"/>
        <v>1392862.739130564</v>
      </c>
      <c r="O46" s="63">
        <f t="shared" si="14"/>
        <v>1650358.5783114098</v>
      </c>
      <c r="P46" s="63">
        <f t="shared" si="14"/>
        <v>1907854.4174922593</v>
      </c>
      <c r="Q46" s="63">
        <f t="shared" si="14"/>
        <v>2165350.2566731051</v>
      </c>
      <c r="R46" s="63">
        <f t="shared" si="14"/>
        <v>2422846.0958539527</v>
      </c>
      <c r="S46" s="63">
        <f t="shared" si="14"/>
        <v>2680341.9350348003</v>
      </c>
      <c r="T46" s="63">
        <f t="shared" si="14"/>
        <v>2937837.774215648</v>
      </c>
      <c r="U46" s="63">
        <f t="shared" si="14"/>
        <v>3195333.6133964956</v>
      </c>
      <c r="V46" s="63">
        <f t="shared" si="14"/>
        <v>3452829.4525773432</v>
      </c>
      <c r="W46" s="63">
        <f t="shared" si="14"/>
        <v>3710325.2917581908</v>
      </c>
      <c r="X46" s="63">
        <f t="shared" si="14"/>
        <v>3967821.1309390385</v>
      </c>
      <c r="Y46" s="63">
        <f t="shared" si="14"/>
        <v>4225316.9701198861</v>
      </c>
      <c r="Z46" s="63">
        <f t="shared" si="14"/>
        <v>4482812.8093007337</v>
      </c>
      <c r="AA46" s="63">
        <f t="shared" si="14"/>
        <v>4740308.6484815814</v>
      </c>
      <c r="AB46" s="63">
        <f t="shared" si="14"/>
        <v>4997804.4876624309</v>
      </c>
      <c r="AC46" s="63">
        <f t="shared" si="14"/>
        <v>5255300.3268432766</v>
      </c>
      <c r="AD46" s="63">
        <f t="shared" si="14"/>
        <v>5512796.1660241261</v>
      </c>
      <c r="AE46" s="63">
        <f t="shared" si="14"/>
        <v>5770292.0052049719</v>
      </c>
      <c r="AF46" s="63">
        <f t="shared" si="14"/>
        <v>6027787.8443858195</v>
      </c>
      <c r="AG46" s="63">
        <f t="shared" si="14"/>
        <v>4822230.2755086552</v>
      </c>
      <c r="AH46" s="63">
        <f t="shared" si="14"/>
        <v>4822230.2755086552</v>
      </c>
      <c r="AI46" s="63">
        <f t="shared" si="14"/>
        <v>4822230.2755086552</v>
      </c>
      <c r="AJ46" s="63">
        <f t="shared" si="14"/>
        <v>4822230.2755086552</v>
      </c>
      <c r="AK46" s="63">
        <f t="shared" si="14"/>
        <v>4822230.2755086552</v>
      </c>
      <c r="AL46" s="63">
        <f t="shared" ref="AL46:BE46" si="15">AL44-AL41</f>
        <v>4822230.2755086552</v>
      </c>
      <c r="AM46" s="63">
        <f t="shared" si="15"/>
        <v>4822230.2755086552</v>
      </c>
      <c r="AN46" s="63">
        <f t="shared" si="15"/>
        <v>4822230.2755086552</v>
      </c>
      <c r="AO46" s="63">
        <f t="shared" si="15"/>
        <v>4822230.2755086552</v>
      </c>
      <c r="AP46" s="63">
        <f t="shared" si="15"/>
        <v>4822230.2755086552</v>
      </c>
      <c r="AQ46" s="63">
        <f t="shared" si="15"/>
        <v>4822230.2755086552</v>
      </c>
      <c r="AR46" s="63">
        <f t="shared" si="15"/>
        <v>4822230.2755086552</v>
      </c>
      <c r="AS46" s="63">
        <f t="shared" si="15"/>
        <v>4822230.2755086552</v>
      </c>
      <c r="AT46" s="63">
        <f t="shared" si="15"/>
        <v>4822230.2755086552</v>
      </c>
      <c r="AU46" s="63">
        <f t="shared" si="15"/>
        <v>4822230.2755086552</v>
      </c>
      <c r="AV46" s="63">
        <f t="shared" si="15"/>
        <v>4822230.2755086552</v>
      </c>
      <c r="AW46" s="63">
        <f t="shared" si="15"/>
        <v>4822230.2755086552</v>
      </c>
      <c r="AX46" s="63">
        <f t="shared" si="15"/>
        <v>4822230.2755086552</v>
      </c>
      <c r="AY46" s="63">
        <f t="shared" si="15"/>
        <v>4822230.2755086552</v>
      </c>
      <c r="AZ46" s="63">
        <f t="shared" si="15"/>
        <v>4822230.2755086552</v>
      </c>
      <c r="BA46" s="63">
        <f t="shared" si="15"/>
        <v>4822230.2755086552</v>
      </c>
      <c r="BB46" s="63">
        <f t="shared" si="15"/>
        <v>4822230.2755086552</v>
      </c>
      <c r="BC46" s="63">
        <f t="shared" si="15"/>
        <v>4822230.2755086552</v>
      </c>
      <c r="BD46" s="63">
        <f t="shared" si="15"/>
        <v>4822230.2755086552</v>
      </c>
      <c r="BE46" s="63">
        <f t="shared" si="15"/>
        <v>4822230.2755086552</v>
      </c>
    </row>
    <row r="47" spans="3:57" ht="7.35" customHeight="1">
      <c r="C47" s="53"/>
      <c r="D47" s="53"/>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row>
    <row r="48" spans="3:57" ht="18" customHeight="1">
      <c r="C48" s="403" t="s">
        <v>137</v>
      </c>
      <c r="D48" s="48" t="s">
        <v>152</v>
      </c>
      <c r="E48" s="40">
        <f>-'Economic parameters'!C17*'Economic parameters'!C24</f>
        <v>-139469217.7141836</v>
      </c>
      <c r="F48" s="40">
        <f>-'Economic parameters'!C17*'Economic parameters'!C25</f>
        <v>-139469217.7141836</v>
      </c>
      <c r="G48" s="123">
        <f>-'Economic parameters'!C17*'Economic parameters'!C26</f>
        <v>-139469217.7141836</v>
      </c>
      <c r="H48" s="39">
        <v>0</v>
      </c>
      <c r="I48" s="39">
        <v>0</v>
      </c>
      <c r="J48" s="39">
        <v>0</v>
      </c>
      <c r="K48" s="39">
        <v>0</v>
      </c>
      <c r="L48" s="39">
        <v>0</v>
      </c>
      <c r="M48" s="39">
        <v>0</v>
      </c>
      <c r="N48" s="39">
        <v>0</v>
      </c>
      <c r="O48" s="39">
        <v>0</v>
      </c>
      <c r="P48" s="39">
        <v>0</v>
      </c>
      <c r="Q48" s="39">
        <v>0</v>
      </c>
      <c r="R48" s="39">
        <v>0</v>
      </c>
      <c r="S48" s="39">
        <v>0</v>
      </c>
      <c r="T48" s="39">
        <v>0</v>
      </c>
      <c r="U48" s="39">
        <v>0</v>
      </c>
      <c r="V48" s="39">
        <v>0</v>
      </c>
      <c r="W48" s="39">
        <v>0</v>
      </c>
      <c r="X48" s="39">
        <v>0</v>
      </c>
      <c r="Y48" s="39">
        <v>0</v>
      </c>
      <c r="Z48" s="39">
        <v>0</v>
      </c>
      <c r="AA48" s="39">
        <v>0</v>
      </c>
      <c r="AB48" s="39">
        <v>0</v>
      </c>
      <c r="AC48" s="39">
        <v>0</v>
      </c>
      <c r="AD48" s="39">
        <v>0</v>
      </c>
      <c r="AE48" s="39">
        <v>0</v>
      </c>
      <c r="AF48" s="39">
        <v>0</v>
      </c>
      <c r="AG48" s="39">
        <v>0</v>
      </c>
      <c r="AH48" s="39">
        <v>0</v>
      </c>
      <c r="AI48" s="39">
        <v>0</v>
      </c>
      <c r="AJ48" s="39">
        <v>0</v>
      </c>
      <c r="AK48" s="39">
        <v>0</v>
      </c>
      <c r="AL48" s="39">
        <v>0</v>
      </c>
      <c r="AM48" s="39">
        <v>0</v>
      </c>
      <c r="AN48" s="39">
        <v>0</v>
      </c>
      <c r="AO48" s="39">
        <v>0</v>
      </c>
      <c r="AP48" s="39">
        <v>0</v>
      </c>
      <c r="AQ48" s="39">
        <v>0</v>
      </c>
      <c r="AR48" s="39">
        <v>0</v>
      </c>
      <c r="AS48" s="39">
        <v>0</v>
      </c>
      <c r="AT48" s="39">
        <v>0</v>
      </c>
      <c r="AU48" s="39">
        <v>0</v>
      </c>
      <c r="AV48" s="39">
        <v>0</v>
      </c>
      <c r="AW48" s="39">
        <v>0</v>
      </c>
      <c r="AX48" s="39">
        <v>0</v>
      </c>
      <c r="AY48" s="39">
        <v>0</v>
      </c>
      <c r="AZ48" s="39">
        <v>0</v>
      </c>
      <c r="BA48" s="39">
        <v>0</v>
      </c>
      <c r="BB48" s="39">
        <v>0</v>
      </c>
      <c r="BC48" s="39">
        <v>0</v>
      </c>
      <c r="BD48" s="39">
        <v>0</v>
      </c>
      <c r="BE48" s="39">
        <v>0</v>
      </c>
    </row>
    <row r="49" spans="3:57" ht="14.7" customHeight="1">
      <c r="C49" s="403"/>
      <c r="D49" s="48" t="s">
        <v>153</v>
      </c>
      <c r="E49" s="40">
        <f>-'Economic parameters'!C21*'Economic parameters'!C28</f>
        <v>0</v>
      </c>
      <c r="F49" s="40">
        <f>-'Economic parameters'!C21*'Economic parameters'!C29</f>
        <v>-1105147.7789591514</v>
      </c>
      <c r="G49" s="40">
        <f>-'Economic parameters'!C21*'Economic parameters'!C30</f>
        <v>-4420591.1158366054</v>
      </c>
      <c r="H49" s="39">
        <v>0</v>
      </c>
      <c r="I49" s="39">
        <v>0</v>
      </c>
      <c r="J49" s="39">
        <v>0</v>
      </c>
      <c r="K49" s="39">
        <v>0</v>
      </c>
      <c r="L49" s="39">
        <v>0</v>
      </c>
      <c r="M49" s="39">
        <v>0</v>
      </c>
      <c r="N49" s="39">
        <v>0</v>
      </c>
      <c r="O49" s="39">
        <v>0</v>
      </c>
      <c r="P49" s="39">
        <v>0</v>
      </c>
      <c r="Q49" s="39">
        <v>0</v>
      </c>
      <c r="R49" s="39">
        <v>0</v>
      </c>
      <c r="S49" s="39">
        <v>0</v>
      </c>
      <c r="T49" s="39">
        <v>0</v>
      </c>
      <c r="U49" s="39">
        <v>0</v>
      </c>
      <c r="V49" s="39">
        <v>0</v>
      </c>
      <c r="W49" s="39">
        <v>0</v>
      </c>
      <c r="X49" s="39">
        <v>0</v>
      </c>
      <c r="Y49" s="39">
        <v>0</v>
      </c>
      <c r="Z49" s="39">
        <v>0</v>
      </c>
      <c r="AA49" s="39">
        <v>0</v>
      </c>
      <c r="AB49" s="39">
        <v>0</v>
      </c>
      <c r="AC49" s="39">
        <v>0</v>
      </c>
      <c r="AD49" s="39">
        <v>0</v>
      </c>
      <c r="AE49" s="39">
        <v>0</v>
      </c>
      <c r="AF49" s="39">
        <v>0</v>
      </c>
      <c r="AG49" s="39">
        <v>0</v>
      </c>
      <c r="AH49" s="39">
        <v>0</v>
      </c>
      <c r="AI49" s="39">
        <v>0</v>
      </c>
      <c r="AJ49" s="39">
        <v>0</v>
      </c>
      <c r="AK49" s="39">
        <v>0</v>
      </c>
      <c r="AL49" s="39">
        <v>0</v>
      </c>
      <c r="AM49" s="39">
        <v>0</v>
      </c>
      <c r="AN49" s="39">
        <v>0</v>
      </c>
      <c r="AO49" s="39">
        <v>0</v>
      </c>
      <c r="AP49" s="39">
        <v>0</v>
      </c>
      <c r="AQ49" s="39">
        <v>0</v>
      </c>
      <c r="AR49" s="39">
        <v>0</v>
      </c>
      <c r="AS49" s="39">
        <v>0</v>
      </c>
      <c r="AT49" s="39">
        <v>0</v>
      </c>
      <c r="AU49" s="39">
        <v>0</v>
      </c>
      <c r="AV49" s="39">
        <v>0</v>
      </c>
      <c r="AW49" s="39">
        <v>0</v>
      </c>
      <c r="AX49" s="39">
        <v>0</v>
      </c>
      <c r="AY49" s="39">
        <v>0</v>
      </c>
      <c r="AZ49" s="39">
        <v>0</v>
      </c>
      <c r="BA49" s="39">
        <v>0</v>
      </c>
      <c r="BB49" s="39">
        <v>0</v>
      </c>
      <c r="BC49" s="39">
        <v>0</v>
      </c>
      <c r="BD49" s="39">
        <v>0</v>
      </c>
      <c r="BE49" s="39">
        <v>0</v>
      </c>
    </row>
    <row r="50" spans="3:57" ht="14.7" customHeight="1">
      <c r="C50" s="403"/>
      <c r="D50" s="49" t="s">
        <v>168</v>
      </c>
      <c r="E50" s="43">
        <f>'Economic parameters'!C22*'Economic parameters'!C28</f>
        <v>0</v>
      </c>
      <c r="F50" s="43">
        <f>-'Economic parameters'!C22*'Economic parameters'!C29</f>
        <v>-200000</v>
      </c>
      <c r="G50" s="43">
        <f>-'Economic parameters'!C22*'Economic parameters'!C30</f>
        <v>-800000</v>
      </c>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c r="AR50" s="42"/>
      <c r="AS50" s="42"/>
      <c r="AT50" s="42"/>
      <c r="AU50" s="42"/>
      <c r="AV50" s="42"/>
      <c r="AW50" s="42"/>
      <c r="AX50" s="42"/>
      <c r="AY50" s="42"/>
      <c r="AZ50" s="42"/>
      <c r="BA50" s="42"/>
      <c r="BB50" s="42"/>
      <c r="BC50" s="42"/>
      <c r="BD50" s="42"/>
      <c r="BE50" s="42"/>
    </row>
    <row r="51" spans="3:57" ht="14.7" customHeight="1" thickBot="1">
      <c r="C51" s="403"/>
      <c r="D51" s="64" t="s">
        <v>154</v>
      </c>
      <c r="E51" s="345"/>
      <c r="F51" s="346"/>
      <c r="G51" s="346"/>
      <c r="H51" s="66"/>
      <c r="I51" s="65"/>
      <c r="J51" s="65"/>
      <c r="K51" s="65"/>
      <c r="L51" s="66"/>
      <c r="M51" s="65"/>
      <c r="N51" s="65"/>
      <c r="O51" s="65"/>
      <c r="P51" s="65"/>
      <c r="Q51" s="66"/>
      <c r="R51" s="65"/>
      <c r="S51" s="65"/>
      <c r="T51" s="65"/>
      <c r="U51" s="65"/>
      <c r="V51" s="66"/>
      <c r="W51" s="65"/>
      <c r="X51" s="65"/>
      <c r="Y51" s="65"/>
      <c r="Z51" s="65"/>
      <c r="AA51" s="66"/>
      <c r="AB51" s="65"/>
      <c r="AC51" s="65"/>
      <c r="AD51" s="65"/>
      <c r="AE51" s="65"/>
      <c r="AF51" s="66"/>
      <c r="AG51" s="65"/>
      <c r="AH51" s="65"/>
      <c r="AI51" s="65"/>
      <c r="AJ51" s="65"/>
      <c r="AK51" s="65"/>
      <c r="AL51" s="65"/>
      <c r="AM51" s="65"/>
      <c r="AN51" s="65"/>
      <c r="AO51" s="65"/>
      <c r="AP51" s="65"/>
      <c r="AQ51" s="65"/>
      <c r="AR51" s="65"/>
      <c r="AS51" s="65"/>
      <c r="AT51" s="65"/>
      <c r="AU51" s="65"/>
      <c r="AV51" s="65"/>
      <c r="AW51" s="65"/>
      <c r="AX51" s="65"/>
      <c r="AY51" s="65"/>
      <c r="AZ51" s="65"/>
      <c r="BA51" s="65"/>
      <c r="BB51" s="65"/>
      <c r="BC51" s="65"/>
      <c r="BD51" s="65"/>
      <c r="BE51" s="65"/>
    </row>
    <row r="52" spans="3:57" ht="15" customHeight="1" thickTop="1">
      <c r="C52" s="403"/>
      <c r="D52" s="61" t="s">
        <v>105</v>
      </c>
      <c r="E52" s="43">
        <f>E48+E49+E51+E50</f>
        <v>-139469217.7141836</v>
      </c>
      <c r="F52" s="43">
        <f t="shared" ref="F52:BE52" si="16">F48+F49+F51+F50</f>
        <v>-140774365.49314275</v>
      </c>
      <c r="G52" s="43">
        <f t="shared" si="16"/>
        <v>-144689808.83002019</v>
      </c>
      <c r="H52" s="43">
        <f t="shared" si="16"/>
        <v>0</v>
      </c>
      <c r="I52" s="43">
        <f t="shared" si="16"/>
        <v>0</v>
      </c>
      <c r="J52" s="43">
        <f t="shared" si="16"/>
        <v>0</v>
      </c>
      <c r="K52" s="43">
        <f t="shared" si="16"/>
        <v>0</v>
      </c>
      <c r="L52" s="43">
        <f t="shared" si="16"/>
        <v>0</v>
      </c>
      <c r="M52" s="43">
        <f t="shared" si="16"/>
        <v>0</v>
      </c>
      <c r="N52" s="43">
        <f t="shared" si="16"/>
        <v>0</v>
      </c>
      <c r="O52" s="43">
        <f t="shared" si="16"/>
        <v>0</v>
      </c>
      <c r="P52" s="43">
        <f t="shared" si="16"/>
        <v>0</v>
      </c>
      <c r="Q52" s="43">
        <f t="shared" si="16"/>
        <v>0</v>
      </c>
      <c r="R52" s="43">
        <f t="shared" si="16"/>
        <v>0</v>
      </c>
      <c r="S52" s="43">
        <f t="shared" si="16"/>
        <v>0</v>
      </c>
      <c r="T52" s="43">
        <f t="shared" si="16"/>
        <v>0</v>
      </c>
      <c r="U52" s="43">
        <f t="shared" si="16"/>
        <v>0</v>
      </c>
      <c r="V52" s="43">
        <f t="shared" si="16"/>
        <v>0</v>
      </c>
      <c r="W52" s="43">
        <f t="shared" si="16"/>
        <v>0</v>
      </c>
      <c r="X52" s="43">
        <f t="shared" si="16"/>
        <v>0</v>
      </c>
      <c r="Y52" s="43">
        <f t="shared" si="16"/>
        <v>0</v>
      </c>
      <c r="Z52" s="43">
        <f t="shared" si="16"/>
        <v>0</v>
      </c>
      <c r="AA52" s="43">
        <f t="shared" si="16"/>
        <v>0</v>
      </c>
      <c r="AB52" s="43">
        <f t="shared" si="16"/>
        <v>0</v>
      </c>
      <c r="AC52" s="43">
        <f t="shared" si="16"/>
        <v>0</v>
      </c>
      <c r="AD52" s="43">
        <f t="shared" si="16"/>
        <v>0</v>
      </c>
      <c r="AE52" s="43">
        <f t="shared" si="16"/>
        <v>0</v>
      </c>
      <c r="AF52" s="43">
        <f t="shared" si="16"/>
        <v>0</v>
      </c>
      <c r="AG52" s="43">
        <f t="shared" si="16"/>
        <v>0</v>
      </c>
      <c r="AH52" s="43">
        <f t="shared" si="16"/>
        <v>0</v>
      </c>
      <c r="AI52" s="43">
        <f t="shared" si="16"/>
        <v>0</v>
      </c>
      <c r="AJ52" s="43">
        <f t="shared" si="16"/>
        <v>0</v>
      </c>
      <c r="AK52" s="43">
        <f t="shared" si="16"/>
        <v>0</v>
      </c>
      <c r="AL52" s="43">
        <f t="shared" si="16"/>
        <v>0</v>
      </c>
      <c r="AM52" s="43">
        <f t="shared" si="16"/>
        <v>0</v>
      </c>
      <c r="AN52" s="43">
        <f t="shared" si="16"/>
        <v>0</v>
      </c>
      <c r="AO52" s="43">
        <f t="shared" si="16"/>
        <v>0</v>
      </c>
      <c r="AP52" s="43">
        <f t="shared" si="16"/>
        <v>0</v>
      </c>
      <c r="AQ52" s="43">
        <f t="shared" si="16"/>
        <v>0</v>
      </c>
      <c r="AR52" s="43">
        <f t="shared" si="16"/>
        <v>0</v>
      </c>
      <c r="AS52" s="43">
        <f t="shared" si="16"/>
        <v>0</v>
      </c>
      <c r="AT52" s="43">
        <f t="shared" si="16"/>
        <v>0</v>
      </c>
      <c r="AU52" s="43">
        <f t="shared" si="16"/>
        <v>0</v>
      </c>
      <c r="AV52" s="43">
        <f t="shared" si="16"/>
        <v>0</v>
      </c>
      <c r="AW52" s="43">
        <f t="shared" si="16"/>
        <v>0</v>
      </c>
      <c r="AX52" s="43">
        <f t="shared" si="16"/>
        <v>0</v>
      </c>
      <c r="AY52" s="43">
        <f t="shared" si="16"/>
        <v>0</v>
      </c>
      <c r="AZ52" s="43">
        <f t="shared" si="16"/>
        <v>0</v>
      </c>
      <c r="BA52" s="43">
        <f t="shared" si="16"/>
        <v>0</v>
      </c>
      <c r="BB52" s="43">
        <f t="shared" si="16"/>
        <v>0</v>
      </c>
      <c r="BC52" s="43">
        <f t="shared" si="16"/>
        <v>0</v>
      </c>
      <c r="BD52" s="43">
        <f t="shared" si="16"/>
        <v>0</v>
      </c>
      <c r="BE52" s="43">
        <f t="shared" si="16"/>
        <v>0</v>
      </c>
    </row>
    <row r="53" spans="3:57" ht="7.35" customHeight="1">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row>
    <row r="54" spans="3:57" ht="19.95" customHeight="1">
      <c r="C54" s="408" t="s">
        <v>138</v>
      </c>
      <c r="D54" s="67" t="s">
        <v>106</v>
      </c>
      <c r="E54" s="68">
        <f>E46+E52</f>
        <v>-139469217.7141836</v>
      </c>
      <c r="F54" s="68">
        <f t="shared" ref="F54:AK54" si="17">F46+F52</f>
        <v>-140774365.49314275</v>
      </c>
      <c r="G54" s="68">
        <f t="shared" si="17"/>
        <v>-144689808.83002019</v>
      </c>
      <c r="H54" s="68">
        <f>H46+H52</f>
        <v>-152112.29595452175</v>
      </c>
      <c r="I54" s="68">
        <f t="shared" si="17"/>
        <v>105383.54322632402</v>
      </c>
      <c r="J54" s="68">
        <f t="shared" si="17"/>
        <v>362879.38240716979</v>
      </c>
      <c r="K54" s="68">
        <f t="shared" si="17"/>
        <v>620375.22158801928</v>
      </c>
      <c r="L54" s="68">
        <f t="shared" si="17"/>
        <v>877871.06076886877</v>
      </c>
      <c r="M54" s="68">
        <f t="shared" si="17"/>
        <v>1135366.8999497145</v>
      </c>
      <c r="N54" s="68">
        <f t="shared" si="17"/>
        <v>1392862.739130564</v>
      </c>
      <c r="O54" s="68">
        <f t="shared" si="17"/>
        <v>1650358.5783114098</v>
      </c>
      <c r="P54" s="68">
        <f t="shared" si="17"/>
        <v>1907854.4174922593</v>
      </c>
      <c r="Q54" s="68">
        <f t="shared" si="17"/>
        <v>2165350.2566731051</v>
      </c>
      <c r="R54" s="68">
        <f t="shared" si="17"/>
        <v>2422846.0958539527</v>
      </c>
      <c r="S54" s="68">
        <f t="shared" si="17"/>
        <v>2680341.9350348003</v>
      </c>
      <c r="T54" s="68">
        <f t="shared" si="17"/>
        <v>2937837.774215648</v>
      </c>
      <c r="U54" s="68">
        <f t="shared" si="17"/>
        <v>3195333.6133964956</v>
      </c>
      <c r="V54" s="68">
        <f t="shared" si="17"/>
        <v>3452829.4525773432</v>
      </c>
      <c r="W54" s="68">
        <f t="shared" si="17"/>
        <v>3710325.2917581908</v>
      </c>
      <c r="X54" s="68">
        <f t="shared" si="17"/>
        <v>3967821.1309390385</v>
      </c>
      <c r="Y54" s="68">
        <f t="shared" si="17"/>
        <v>4225316.9701198861</v>
      </c>
      <c r="Z54" s="68">
        <f t="shared" si="17"/>
        <v>4482812.8093007337</v>
      </c>
      <c r="AA54" s="68">
        <f t="shared" si="17"/>
        <v>4740308.6484815814</v>
      </c>
      <c r="AB54" s="68">
        <f t="shared" si="17"/>
        <v>4997804.4876624309</v>
      </c>
      <c r="AC54" s="68">
        <f t="shared" si="17"/>
        <v>5255300.3268432766</v>
      </c>
      <c r="AD54" s="68">
        <f t="shared" si="17"/>
        <v>5512796.1660241261</v>
      </c>
      <c r="AE54" s="68">
        <f t="shared" si="17"/>
        <v>5770292.0052049719</v>
      </c>
      <c r="AF54" s="68">
        <f t="shared" si="17"/>
        <v>6027787.8443858195</v>
      </c>
      <c r="AG54" s="68">
        <f t="shared" si="17"/>
        <v>4822230.2755086552</v>
      </c>
      <c r="AH54" s="68">
        <f t="shared" si="17"/>
        <v>4822230.2755086552</v>
      </c>
      <c r="AI54" s="68">
        <f t="shared" si="17"/>
        <v>4822230.2755086552</v>
      </c>
      <c r="AJ54" s="68">
        <f t="shared" si="17"/>
        <v>4822230.2755086552</v>
      </c>
      <c r="AK54" s="68">
        <f t="shared" si="17"/>
        <v>4822230.2755086552</v>
      </c>
      <c r="AL54" s="68">
        <f t="shared" ref="AL54:BE54" si="18">AL46+AL52</f>
        <v>4822230.2755086552</v>
      </c>
      <c r="AM54" s="68">
        <f t="shared" si="18"/>
        <v>4822230.2755086552</v>
      </c>
      <c r="AN54" s="68">
        <f t="shared" si="18"/>
        <v>4822230.2755086552</v>
      </c>
      <c r="AO54" s="68">
        <f t="shared" si="18"/>
        <v>4822230.2755086552</v>
      </c>
      <c r="AP54" s="68">
        <f t="shared" si="18"/>
        <v>4822230.2755086552</v>
      </c>
      <c r="AQ54" s="68">
        <f t="shared" si="18"/>
        <v>4822230.2755086552</v>
      </c>
      <c r="AR54" s="68">
        <f t="shared" si="18"/>
        <v>4822230.2755086552</v>
      </c>
      <c r="AS54" s="68">
        <f t="shared" si="18"/>
        <v>4822230.2755086552</v>
      </c>
      <c r="AT54" s="68">
        <f t="shared" si="18"/>
        <v>4822230.2755086552</v>
      </c>
      <c r="AU54" s="68">
        <f t="shared" si="18"/>
        <v>4822230.2755086552</v>
      </c>
      <c r="AV54" s="68">
        <f t="shared" si="18"/>
        <v>4822230.2755086552</v>
      </c>
      <c r="AW54" s="68">
        <f t="shared" si="18"/>
        <v>4822230.2755086552</v>
      </c>
      <c r="AX54" s="68">
        <f t="shared" si="18"/>
        <v>4822230.2755086552</v>
      </c>
      <c r="AY54" s="68">
        <f t="shared" si="18"/>
        <v>4822230.2755086552</v>
      </c>
      <c r="AZ54" s="68">
        <f t="shared" si="18"/>
        <v>4822230.2755086552</v>
      </c>
      <c r="BA54" s="68">
        <f t="shared" si="18"/>
        <v>4822230.2755086552</v>
      </c>
      <c r="BB54" s="68">
        <f t="shared" si="18"/>
        <v>4822230.2755086552</v>
      </c>
      <c r="BC54" s="68">
        <f t="shared" si="18"/>
        <v>4822230.2755086552</v>
      </c>
      <c r="BD54" s="68">
        <f t="shared" si="18"/>
        <v>4822230.2755086552</v>
      </c>
      <c r="BE54" s="68">
        <f t="shared" si="18"/>
        <v>4822230.2755086552</v>
      </c>
    </row>
    <row r="55" spans="3:57" ht="19.95" customHeight="1">
      <c r="C55" s="408"/>
      <c r="D55" s="69" t="s">
        <v>107</v>
      </c>
      <c r="E55" s="68">
        <f>E54/((1+'Economic parameters'!$C$40)^E5)</f>
        <v>-139469217.7141836</v>
      </c>
      <c r="F55" s="68">
        <f>F54/((1+'Economic parameters'!$C$40)^F5)</f>
        <v>-133511348.15358759</v>
      </c>
      <c r="G55" s="68">
        <f>G54/((1+'Economic parameters'!$C$40)^G5)</f>
        <v>-130144898.28987829</v>
      </c>
      <c r="H55" s="68">
        <f>H54/((1+'Economic parameters'!$C$40)^H5)</f>
        <v>-129762.1790241198</v>
      </c>
      <c r="I55" s="68">
        <f>I54/((1+'Economic parameters'!$C$40)^I5)</f>
        <v>85261.154184588973</v>
      </c>
      <c r="J55" s="68">
        <f>J54/((1+'Economic parameters'!$C$40)^J5)</f>
        <v>278442.360915748</v>
      </c>
      <c r="K55" s="68">
        <f>K54/((1+'Economic parameters'!$C$40)^K5)</f>
        <v>451462.8925764506</v>
      </c>
      <c r="L55" s="68">
        <f>L54/((1+'Economic parameters'!$C$40)^L5)</f>
        <v>605888.83816500637</v>
      </c>
      <c r="M55" s="68">
        <f>M54/((1+'Economic parameters'!$C$40)^M5)</f>
        <v>743178.35232429439</v>
      </c>
      <c r="N55" s="68">
        <f>N54/((1+'Economic parameters'!$C$40)^N5)</f>
        <v>864688.62399905338</v>
      </c>
      <c r="O55" s="68">
        <f>O54/((1+'Economic parameters'!$C$40)^O5)</f>
        <v>971682.41332810279</v>
      </c>
      <c r="P55" s="68">
        <f>P54/((1+'Economic parameters'!$C$40)^P5)</f>
        <v>1065334.182774276</v>
      </c>
      <c r="Q55" s="68">
        <f>Q54/((1+'Economic parameters'!$C$40)^Q5)</f>
        <v>1146735.8469608822</v>
      </c>
      <c r="R55" s="68">
        <f>R54/((1+'Economic parameters'!$C$40)^R5)</f>
        <v>1216902.1642388809</v>
      </c>
      <c r="S55" s="68">
        <f>S54/((1+'Economic parameters'!$C$40)^S5)</f>
        <v>1276775.7916479968</v>
      </c>
      <c r="T55" s="68">
        <f>T54/((1+'Economic parameters'!$C$40)^T5)</f>
        <v>1327232.023653405</v>
      </c>
      <c r="U55" s="68">
        <f>U54/((1+'Economic parameters'!$C$40)^U5)</f>
        <v>1369083.2338324578</v>
      </c>
      <c r="V55" s="68">
        <f>V54/((1+'Economic parameters'!$C$40)^V5)</f>
        <v>1403083.037549135</v>
      </c>
      <c r="W55" s="68">
        <f>W54/((1+'Economic parameters'!$C$40)^W5)</f>
        <v>1429930.1925833642</v>
      </c>
      <c r="X55" s="68">
        <f>X54/((1+'Economic parameters'!$C$40)^X5)</f>
        <v>1450272.2536742699</v>
      </c>
      <c r="Y55" s="68">
        <f>Y54/((1+'Economic parameters'!$C$40)^Y5)</f>
        <v>1464708.9959871676</v>
      </c>
      <c r="Z55" s="68">
        <f>Z54/((1+'Economic parameters'!$C$40)^Z5)</f>
        <v>1473795.6216203736</v>
      </c>
      <c r="AA55" s="68">
        <f>AA54/((1+'Economic parameters'!$C$40)^AA5)</f>
        <v>1478045.762426391</v>
      </c>
      <c r="AB55" s="68">
        <f>AB54/((1+'Economic parameters'!$C$40)^AB5)</f>
        <v>1477934.2916298008</v>
      </c>
      <c r="AC55" s="68">
        <f>AC54/((1+'Economic parameters'!$C$40)^AC5)</f>
        <v>1473899.9559783614</v>
      </c>
      <c r="AD55" s="68">
        <f>AD54/((1+'Economic parameters'!$C$40)^AD5)</f>
        <v>1466347.839461742</v>
      </c>
      <c r="AE55" s="68">
        <f>AE54/((1+'Economic parameters'!$C$40)^AE5)</f>
        <v>1455651.6689713853</v>
      </c>
      <c r="AF55" s="68">
        <f>AF54/((1+'Economic parameters'!$C$40)^AF5)</f>
        <v>1442155.9716529986</v>
      </c>
      <c r="AG55" s="68">
        <f>AG54/((1+'Economic parameters'!$C$40)^AG5)</f>
        <v>1094200.2819825483</v>
      </c>
      <c r="AH55" s="68">
        <f>AH54/((1+'Economic parameters'!$C$40)^AH5)</f>
        <v>1037746.8531700949</v>
      </c>
      <c r="AI55" s="68">
        <f>AI54/((1+'Economic parameters'!$C$40)^AI5)</f>
        <v>984206.04435707047</v>
      </c>
      <c r="AJ55" s="68">
        <f>AJ54/((1+'Economic parameters'!$C$40)^AJ5)</f>
        <v>933427.58379843563</v>
      </c>
      <c r="AK55" s="68">
        <f>AK54/((1+'Economic parameters'!$C$40)^AK5)</f>
        <v>885268.95276786375</v>
      </c>
      <c r="AL55" s="68">
        <f>AL54/((1+'Economic parameters'!$C$40)^AL5)</f>
        <v>839594.98555374029</v>
      </c>
      <c r="AM55" s="68">
        <f>AM54/((1+'Economic parameters'!$C$40)^AM5)</f>
        <v>796277.49009269755</v>
      </c>
      <c r="AN55" s="68">
        <f>AN54/((1+'Economic parameters'!$C$40)^AN5)</f>
        <v>755194.88817592722</v>
      </c>
      <c r="AO55" s="68">
        <f>AO54/((1+'Economic parameters'!$C$40)^AO5)</f>
        <v>716231.87421844387</v>
      </c>
      <c r="AP55" s="68">
        <f>AP54/((1+'Economic parameters'!$C$40)^AP5)</f>
        <v>679279.09163357713</v>
      </c>
      <c r="AQ55" s="68">
        <f>AQ54/((1+'Economic parameters'!$C$40)^AQ5)</f>
        <v>644232.82590437902</v>
      </c>
      <c r="AR55" s="68">
        <f>AR54/((1+'Economic parameters'!$C$40)^AR5)</f>
        <v>610994.71349049604</v>
      </c>
      <c r="AS55" s="68">
        <f>AS54/((1+'Economic parameters'!$C$40)^AS5)</f>
        <v>579471.46575350536</v>
      </c>
      <c r="AT55" s="68">
        <f>AT54/((1+'Economic parameters'!$C$40)^AT5)</f>
        <v>549574.60712585866</v>
      </c>
      <c r="AU55" s="68">
        <f>AU54/((1+'Economic parameters'!$C$40)^AU5)</f>
        <v>521220.22678856098</v>
      </c>
      <c r="AV55" s="68">
        <f>AV54/((1+'Economic parameters'!$C$40)^AV5)</f>
        <v>494328.74316062307</v>
      </c>
      <c r="AW55" s="68">
        <f>AW54/((1+'Economic parameters'!$C$40)^AW5)</f>
        <v>468824.680539286</v>
      </c>
      <c r="AX55" s="68">
        <f>AX54/((1+'Economic parameters'!$C$40)^AX5)</f>
        <v>444636.4572641179</v>
      </c>
      <c r="AY55" s="68">
        <f>AY54/((1+'Economic parameters'!$C$40)^AY5)</f>
        <v>421696.18481043057</v>
      </c>
      <c r="AZ55" s="68">
        <f>AZ54/((1+'Economic parameters'!$C$40)^AZ5)</f>
        <v>399939.47724813217</v>
      </c>
      <c r="BA55" s="68">
        <f>BA54/((1+'Economic parameters'!$C$40)^BA5)</f>
        <v>379305.27053123305</v>
      </c>
      <c r="BB55" s="68">
        <f>BB54/((1+'Economic parameters'!$C$40)^BB5)</f>
        <v>359735.65111080534</v>
      </c>
      <c r="BC55" s="68">
        <f>BC54/((1+'Economic parameters'!$C$40)^BC5)</f>
        <v>341175.69339036918</v>
      </c>
      <c r="BD55" s="68">
        <f>BD54/((1+'Economic parameters'!$C$40)^BD5)</f>
        <v>323573.30556749739</v>
      </c>
      <c r="BE55" s="68">
        <f>BE54/((1+'Economic parameters'!$C$40)^BE5)</f>
        <v>306879.08342896187</v>
      </c>
    </row>
    <row r="56" spans="3:57" ht="19.95" customHeight="1">
      <c r="C56" s="408"/>
      <c r="D56" s="67" t="s">
        <v>108</v>
      </c>
      <c r="E56" s="68">
        <f>E54*(1+'Economic parameters'!$C$14)^'Cash-Flow Model'!E5</f>
        <v>-139469217.7141836</v>
      </c>
      <c r="F56" s="68">
        <f>F54*(1+'Economic parameters'!$C$14)^'Cash-Flow Model'!F5</f>
        <v>-142182109.14807418</v>
      </c>
      <c r="G56" s="68">
        <f>G54*(1+'Economic parameters'!$C$14)^'Cash-Flow Model'!G5</f>
        <v>-147598073.98750359</v>
      </c>
      <c r="H56" s="68">
        <f>H54*(1+'Economic parameters'!$C$14)^'Cash-Flow Model'!H5</f>
        <v>-156721.45063423971</v>
      </c>
      <c r="I56" s="68">
        <f>I54*(1+'Economic parameters'!$C$14)^'Cash-Flow Model'!I5</f>
        <v>109662.53766932111</v>
      </c>
      <c r="J56" s="68">
        <f>J54*(1+'Economic parameters'!$C$14)^'Cash-Flow Model'!J5</f>
        <v>381389.87788401655</v>
      </c>
      <c r="K56" s="68">
        <f>K54*(1+'Economic parameters'!$C$14)^'Cash-Flow Model'!K5</f>
        <v>658540.79864924308</v>
      </c>
      <c r="L56" s="68">
        <f>L54*(1+'Economic parameters'!$C$14)^'Cash-Flow Model'!L5</f>
        <v>941196.59884198534</v>
      </c>
      <c r="M56" s="68">
        <f>M54*(1+'Economic parameters'!$C$14)^'Cash-Flow Model'!M5</f>
        <v>1229439.6609587141</v>
      </c>
      <c r="N56" s="68">
        <f>N54*(1+'Economic parameters'!$C$14)^'Cash-Flow Model'!N5</f>
        <v>1523353.4646578971</v>
      </c>
      <c r="O56" s="68">
        <f>O54*(1+'Economic parameters'!$C$14)^'Cash-Flow Model'!O5</f>
        <v>1823022.6004649636</v>
      </c>
      <c r="P56" s="68">
        <f>P54*(1+'Economic parameters'!$C$14)^'Cash-Flow Model'!P5</f>
        <v>2128532.7836417095</v>
      </c>
      <c r="Q56" s="68">
        <f>Q54*(1+'Economic parameters'!$C$14)^'Cash-Flow Model'!Q5</f>
        <v>2439970.86822194</v>
      </c>
      <c r="R56" s="68">
        <f>R54*(1+'Economic parameters'!$C$14)^'Cash-Flow Model'!R5</f>
        <v>2757424.8612154131</v>
      </c>
      <c r="S56" s="68">
        <f>S54*(1+'Economic parameters'!$C$14)^'Cash-Flow Model'!S5</f>
        <v>3080983.9369819341</v>
      </c>
      <c r="T56" s="68">
        <f>T54*(1+'Economic parameters'!$C$14)^'Cash-Flow Model'!T5</f>
        <v>3410738.4517776622</v>
      </c>
      <c r="U56" s="68">
        <f>U54*(1+'Economic parameters'!$C$14)^'Cash-Flow Model'!U5</f>
        <v>3746779.9584756088</v>
      </c>
      <c r="V56" s="68">
        <f>V54*(1+'Economic parameters'!$C$14)^'Cash-Flow Model'!V5</f>
        <v>4089201.2214623359</v>
      </c>
      <c r="W56" s="68">
        <f>W54*(1+'Economic parameters'!$C$14)^'Cash-Flow Model'!W5</f>
        <v>4438096.2317129495</v>
      </c>
      <c r="X56" s="68">
        <f>X54*(1+'Economic parameters'!$C$14)^'Cash-Flow Model'!X5</f>
        <v>4793560.2220464284</v>
      </c>
      <c r="Y56" s="68">
        <f>Y54*(1+'Economic parameters'!$C$14)^'Cash-Flow Model'!Y5</f>
        <v>5155689.6825634073</v>
      </c>
      <c r="Z56" s="68">
        <f>Z54*(1+'Economic parameters'!$C$14)^'Cash-Flow Model'!Z5</f>
        <v>5524582.3762685191</v>
      </c>
      <c r="AA56" s="68">
        <f>AA54*(1+'Economic parameters'!$C$14)^'Cash-Flow Model'!AA5</f>
        <v>5900337.3548794799</v>
      </c>
      <c r="AB56" s="68">
        <f>AB54*(1+'Economic parameters'!$C$14)^'Cash-Flow Model'!AB5</f>
        <v>6283054.9748250321</v>
      </c>
      <c r="AC56" s="68">
        <f>AC54*(1+'Economic parameters'!$C$14)^'Cash-Flow Model'!AC5</f>
        <v>6672836.9134340053</v>
      </c>
      <c r="AD56" s="68">
        <f>AD54*(1+'Economic parameters'!$C$14)^'Cash-Flow Model'!AD5</f>
        <v>7069786.1853176802</v>
      </c>
      <c r="AE56" s="68">
        <f>AE54*(1+'Economic parameters'!$C$14)^'Cash-Flow Model'!AE5</f>
        <v>7474007.1589476792</v>
      </c>
      <c r="AF56" s="68">
        <f>AF54*(1+'Economic parameters'!$C$14)^'Cash-Flow Model'!AF5</f>
        <v>7885605.5734317461</v>
      </c>
      <c r="AG56" s="68">
        <f>AG54*(1+'Economic parameters'!$C$14)^'Cash-Flow Model'!AG5</f>
        <v>6371569.3033328513</v>
      </c>
      <c r="AH56" s="68">
        <f>AH54*(1+'Economic parameters'!$C$14)^'Cash-Flow Model'!AH5</f>
        <v>6435284.9963661795</v>
      </c>
      <c r="AI56" s="68">
        <f>AI54*(1+'Economic parameters'!$C$14)^'Cash-Flow Model'!AI5</f>
        <v>6499637.8463298427</v>
      </c>
      <c r="AJ56" s="68">
        <f>AJ54*(1+'Economic parameters'!$C$14)^'Cash-Flow Model'!AJ5</f>
        <v>6564634.2247931389</v>
      </c>
      <c r="AK56" s="68">
        <f>AK54*(1+'Economic parameters'!$C$14)^'Cash-Flow Model'!AK5</f>
        <v>6630280.5670410721</v>
      </c>
      <c r="AL56" s="68">
        <f>AL54*(1+'Economic parameters'!$C$14)^'Cash-Flow Model'!AL5</f>
        <v>6696583.3727114825</v>
      </c>
      <c r="AM56" s="68">
        <f>AM54*(1+'Economic parameters'!$C$14)^'Cash-Flow Model'!AM5</f>
        <v>6763549.2064385982</v>
      </c>
      <c r="AN56" s="68">
        <f>AN54*(1+'Economic parameters'!$C$14)^'Cash-Flow Model'!AN5</f>
        <v>6831184.698502983</v>
      </c>
      <c r="AO56" s="68">
        <f>AO54*(1+'Economic parameters'!$C$14)^'Cash-Flow Model'!AO5</f>
        <v>6899496.545488013</v>
      </c>
      <c r="AP56" s="68">
        <f>AP54*(1+'Economic parameters'!$C$14)^'Cash-Flow Model'!AP5</f>
        <v>6968491.5109428931</v>
      </c>
      <c r="AQ56" s="68">
        <f>AQ54*(1+'Economic parameters'!$C$14)^'Cash-Flow Model'!AQ5</f>
        <v>7038176.4260523226</v>
      </c>
      <c r="AR56" s="68">
        <f>AR54*(1+'Economic parameters'!$C$14)^'Cash-Flow Model'!AR5</f>
        <v>7108558.1903128447</v>
      </c>
      <c r="AS56" s="68">
        <f>AS54*(1+'Economic parameters'!$C$14)^'Cash-Flow Model'!AS5</f>
        <v>7179643.7722159745</v>
      </c>
      <c r="AT56" s="68">
        <f>AT54*(1+'Economic parameters'!$C$14)^'Cash-Flow Model'!AT5</f>
        <v>7251440.209938135</v>
      </c>
      <c r="AU56" s="68">
        <f>AU54*(1+'Economic parameters'!$C$14)^'Cash-Flow Model'!AU5</f>
        <v>7323954.6120375171</v>
      </c>
      <c r="AV56" s="68">
        <f>AV54*(1+'Economic parameters'!$C$14)^'Cash-Flow Model'!AV5</f>
        <v>7397194.1581578907</v>
      </c>
      <c r="AW56" s="68">
        <f>AW54*(1+'Economic parameters'!$C$14)^'Cash-Flow Model'!AW5</f>
        <v>7471166.0997394696</v>
      </c>
      <c r="AX56" s="68">
        <f>AX54*(1+'Economic parameters'!$C$14)^'Cash-Flow Model'!AX5</f>
        <v>7545877.760736865</v>
      </c>
      <c r="AY56" s="68">
        <f>AY54*(1+'Economic parameters'!$C$14)^'Cash-Flow Model'!AY5</f>
        <v>7621336.5383442342</v>
      </c>
      <c r="AZ56" s="68">
        <f>AZ54*(1+'Economic parameters'!$C$14)^'Cash-Flow Model'!AZ5</f>
        <v>7697549.9037276739</v>
      </c>
      <c r="BA56" s="68">
        <f>BA54*(1+'Economic parameters'!$C$14)^'Cash-Flow Model'!BA5</f>
        <v>7774525.4027649527</v>
      </c>
      <c r="BB56" s="68">
        <f>BB54*(1+'Economic parameters'!$C$14)^'Cash-Flow Model'!BB5</f>
        <v>7852270.6567926034</v>
      </c>
      <c r="BC56" s="68">
        <f>BC54*(1+'Economic parameters'!$C$14)^'Cash-Flow Model'!BC5</f>
        <v>7930793.3633605298</v>
      </c>
      <c r="BD56" s="68">
        <f>BD54*(1+'Economic parameters'!$C$14)^'Cash-Flow Model'!BD5</f>
        <v>8010101.2969941339</v>
      </c>
      <c r="BE56" s="68">
        <f>BE54*(1+'Economic parameters'!$C$14)^'Cash-Flow Model'!BE5</f>
        <v>8090202.3099640757</v>
      </c>
    </row>
    <row r="57" spans="3:57" ht="19.95" customHeight="1">
      <c r="C57" s="408"/>
      <c r="D57" s="70" t="s">
        <v>109</v>
      </c>
      <c r="E57" s="63">
        <f>E56/((1+'Economic parameters'!$C$40)^'Cash-Flow Model'!E5)</f>
        <v>-139469217.7141836</v>
      </c>
      <c r="F57" s="63">
        <f>F56/((1+'Economic parameters'!$C$40)^'Cash-Flow Model'!F5)</f>
        <v>-134846461.63512346</v>
      </c>
      <c r="G57" s="63">
        <f>G56/((1+'Economic parameters'!$C$40)^'Cash-Flow Model'!G5)</f>
        <v>-132760810.74550484</v>
      </c>
      <c r="H57" s="63">
        <f>H56/((1+'Economic parameters'!$C$40)^'Cash-Flow Model'!H5)</f>
        <v>-133694.10281072964</v>
      </c>
      <c r="I57" s="63">
        <f>I56/((1+'Economic parameters'!$C$40)^'Cash-Flow Model'!I5)</f>
        <v>88723.098941711563</v>
      </c>
      <c r="J57" s="63">
        <f>J56/((1+'Economic parameters'!$C$40)^'Cash-Flow Model'!J5)</f>
        <v>292645.71969602257</v>
      </c>
      <c r="K57" s="63">
        <f>K56/((1+'Economic parameters'!$C$40)^'Cash-Flow Model'!K5)</f>
        <v>479236.95771851699</v>
      </c>
      <c r="L57" s="63">
        <f>L56/((1+'Economic parameters'!$C$40)^'Cash-Flow Model'!L5)</f>
        <v>649594.84284374618</v>
      </c>
      <c r="M57" s="63">
        <f>M56/((1+'Economic parameters'!$C$40)^'Cash-Flow Model'!M5)</f>
        <v>804755.66229199024</v>
      </c>
      <c r="N57" s="63">
        <f>N56/((1+'Economic parameters'!$C$40)^'Cash-Flow Model'!N5)</f>
        <v>945697.21352546976</v>
      </c>
      <c r="O57" s="63">
        <f>O56/((1+'Economic parameters'!$C$40)^'Cash-Flow Model'!O5)</f>
        <v>1073341.8926351776</v>
      </c>
      <c r="P57" s="63">
        <f>P56/((1+'Economic parameters'!$C$40)^'Cash-Flow Model'!P5)</f>
        <v>1188559.6263418226</v>
      </c>
      <c r="Q57" s="63">
        <f>Q56/((1+'Economic parameters'!$C$40)^'Cash-Flow Model'!Q5)</f>
        <v>1292170.6553051057</v>
      </c>
      <c r="R57" s="63">
        <f>R56/((1+'Economic parameters'!$C$40)^'Cash-Flow Model'!R5)</f>
        <v>1384948.1760649977</v>
      </c>
      <c r="S57" s="63">
        <f>S56/((1+'Economic parameters'!$C$40)^'Cash-Flow Model'!S5)</f>
        <v>1467620.8485854238</v>
      </c>
      <c r="T57" s="63">
        <f>T56/((1+'Economic parameters'!$C$40)^'Cash-Flow Model'!T5)</f>
        <v>1540875.1760345027</v>
      </c>
      <c r="U57" s="63">
        <f>U56/((1+'Economic parameters'!$C$40)^'Cash-Flow Model'!U5)</f>
        <v>1605357.7631150188</v>
      </c>
      <c r="V57" s="63">
        <f>V56/((1+'Economic parameters'!$C$40)^'Cash-Flow Model'!V5)</f>
        <v>1661677.45895364</v>
      </c>
      <c r="W57" s="63">
        <f>W56/((1+'Economic parameters'!$C$40)^'Cash-Flow Model'!W5)</f>
        <v>1710407.3902667381</v>
      </c>
      <c r="X57" s="63">
        <f>X56/((1+'Economic parameters'!$C$40)^'Cash-Flow Model'!X5)</f>
        <v>1752086.8902437973</v>
      </c>
      <c r="Y57" s="63">
        <f>Y56/((1+'Economic parameters'!$C$40)^'Cash-Flow Model'!Y5)</f>
        <v>1787223.3283257289</v>
      </c>
      <c r="Z57" s="63">
        <f>Z56/((1+'Economic parameters'!$C$40)^'Cash-Flow Model'!Z5)</f>
        <v>1816293.8458043032</v>
      </c>
      <c r="AA57" s="63">
        <f>AA56/((1+'Economic parameters'!$C$40)^'Cash-Flow Model'!AA5)</f>
        <v>1839747.0019297716</v>
      </c>
      <c r="AB57" s="63">
        <f>AB56/((1+'Economic parameters'!$C$40)^'Cash-Flow Model'!AB5)</f>
        <v>1858004.3349859696</v>
      </c>
      <c r="AC57" s="63">
        <f>AC56/((1+'Economic parameters'!$C$40)^'Cash-Flow Model'!AC5)</f>
        <v>1871461.8425753897</v>
      </c>
      <c r="AD57" s="63">
        <f>AD56/((1+'Economic parameters'!$C$40)^'Cash-Flow Model'!AD5)</f>
        <v>1880491.3851501329</v>
      </c>
      <c r="AE57" s="63">
        <f>AE56/((1+'Economic parameters'!$C$40)^'Cash-Flow Model'!AE5)</f>
        <v>1885442.0166280316</v>
      </c>
      <c r="AF57" s="63">
        <f>AF56/((1+'Economic parameters'!$C$40)^'Cash-Flow Model'!AF5)</f>
        <v>1886641.245746017</v>
      </c>
      <c r="AG57" s="63">
        <f>AG56/((1+'Economic parameters'!$C$40)^'Cash-Flow Model'!AG5)</f>
        <v>1445756.9485610602</v>
      </c>
      <c r="AH57" s="63">
        <f>AH56/((1+'Economic parameters'!$C$40)^'Cash-Flow Model'!AH5)</f>
        <v>1384877.1984509395</v>
      </c>
      <c r="AI57" s="63">
        <f>AI56/((1+'Economic parameters'!$C$40)^'Cash-Flow Model'!AI5)</f>
        <v>1326561.0493507676</v>
      </c>
      <c r="AJ57" s="63">
        <f>AJ56/((1+'Economic parameters'!$C$40)^'Cash-Flow Model'!AJ5)</f>
        <v>1270700.5499281818</v>
      </c>
      <c r="AK57" s="63">
        <f>AK56/((1+'Economic parameters'!$C$40)^'Cash-Flow Model'!AK5)</f>
        <v>1217192.2946011608</v>
      </c>
      <c r="AL57" s="63">
        <f>AL56/((1+'Economic parameters'!$C$40)^'Cash-Flow Model'!AL5)</f>
        <v>1165937.2321198522</v>
      </c>
      <c r="AM57" s="63">
        <f>AM56/((1+'Economic parameters'!$C$40)^'Cash-Flow Model'!AM5)</f>
        <v>1116840.4822088876</v>
      </c>
      <c r="AN57" s="63">
        <f>AN56/((1+'Economic parameters'!$C$40)^'Cash-Flow Model'!AN5)</f>
        <v>1069811.159930744</v>
      </c>
      <c r="AO57" s="63">
        <f>AO56/((1+'Economic parameters'!$C$40)^'Cash-Flow Model'!AO5)</f>
        <v>1024762.2074450412</v>
      </c>
      <c r="AP57" s="63">
        <f>AP56/((1+'Economic parameters'!$C$40)^'Cash-Flow Model'!AP5)</f>
        <v>981610.23285232496</v>
      </c>
      <c r="AQ57" s="63">
        <f>AQ56/((1+'Economic parameters'!$C$40)^'Cash-Flow Model'!AQ5)</f>
        <v>940275.35582402162</v>
      </c>
      <c r="AR57" s="63">
        <f>AR56/((1+'Economic parameters'!$C$40)^'Cash-Flow Model'!AR5)</f>
        <v>900681.05973279756</v>
      </c>
      <c r="AS57" s="63">
        <f>AS56/((1+'Economic parameters'!$C$40)^'Cash-Flow Model'!AS5)</f>
        <v>862754.05000960326</v>
      </c>
      <c r="AT57" s="63">
        <f>AT56/((1+'Economic parameters'!$C$40)^'Cash-Flow Model'!AT5)</f>
        <v>826424.11846519297</v>
      </c>
      <c r="AU57" s="63">
        <f>AU56/((1+'Economic parameters'!$C$40)^'Cash-Flow Model'!AU5)</f>
        <v>791624.01332496677</v>
      </c>
      <c r="AV57" s="63">
        <f>AV56/((1+'Economic parameters'!$C$40)^'Cash-Flow Model'!AV5)</f>
        <v>758289.314736548</v>
      </c>
      <c r="AW57" s="63">
        <f>AW56/((1+'Economic parameters'!$C$40)^'Cash-Flow Model'!AW5)</f>
        <v>726358.31551964488</v>
      </c>
      <c r="AX57" s="63">
        <f>AX56/((1+'Economic parameters'!$C$40)^'Cash-Flow Model'!AX5)</f>
        <v>695771.90693744435</v>
      </c>
      <c r="AY57" s="63">
        <f>AY56/((1+'Economic parameters'!$C$40)^'Cash-Flow Model'!AY5)</f>
        <v>666473.46927809087</v>
      </c>
      <c r="AZ57" s="63">
        <f>AZ56/((1+'Economic parameters'!$C$40)^'Cash-Flow Model'!AZ5)</f>
        <v>638408.7670436945</v>
      </c>
      <c r="BA57" s="63">
        <f>BA56/((1+'Economic parameters'!$C$40)^'Cash-Flow Model'!BA5)</f>
        <v>611525.84855285625</v>
      </c>
      <c r="BB57" s="63">
        <f>BB56/((1+'Economic parameters'!$C$40)^'Cash-Flow Model'!BB5)</f>
        <v>585774.94977085071</v>
      </c>
      <c r="BC57" s="63">
        <f>BC56/((1+'Economic parameters'!$C$40)^'Cash-Flow Model'!BC5)</f>
        <v>561108.4021894529</v>
      </c>
      <c r="BD57" s="63">
        <f>BD56/((1+'Economic parameters'!$C$40)^'Cash-Flow Model'!BD5)</f>
        <v>537480.54458587582</v>
      </c>
      <c r="BE57" s="63">
        <f>BE56/((1+'Economic parameters'!$C$40)^'Cash-Flow Model'!BE5)</f>
        <v>514847.63849747216</v>
      </c>
    </row>
    <row r="60" spans="3:57" ht="20.7" customHeight="1">
      <c r="D60" s="84" t="s">
        <v>160</v>
      </c>
      <c r="E60" s="86" t="s">
        <v>155</v>
      </c>
      <c r="F60" s="85" t="s">
        <v>156</v>
      </c>
      <c r="G60" s="86" t="s">
        <v>157</v>
      </c>
      <c r="H60" s="86" t="s">
        <v>158</v>
      </c>
      <c r="I60" s="87" t="s">
        <v>159</v>
      </c>
    </row>
    <row r="61" spans="3:57" ht="26.7" customHeight="1">
      <c r="C61" s="404" t="s">
        <v>163</v>
      </c>
      <c r="D61" s="90" t="s">
        <v>161</v>
      </c>
      <c r="E61" s="91">
        <f>SUM(E55:AA55)</f>
        <v>-383152722.59423178</v>
      </c>
      <c r="F61" s="92">
        <f>SUM(E55:AF55)</f>
        <v>-375836732.86653757</v>
      </c>
      <c r="G61" s="91">
        <f>SUM(E55:AK55)</f>
        <v>-370901883.15046161</v>
      </c>
      <c r="H61" s="91">
        <f>SUM(E55:AU55)</f>
        <v>-364209810.98172444</v>
      </c>
      <c r="I61" s="93">
        <f>SUM(E55:BE55)</f>
        <v>-360269716.43467289</v>
      </c>
    </row>
    <row r="62" spans="3:57" ht="26.7" customHeight="1">
      <c r="C62" s="405"/>
      <c r="D62" s="94" t="s">
        <v>162</v>
      </c>
      <c r="E62" s="95">
        <f>SUM(E57:AA57)</f>
        <v>-383829220.64899927</v>
      </c>
      <c r="F62" s="96">
        <f>SUM(E57:AF57)</f>
        <v>-374447179.82391375</v>
      </c>
      <c r="G62" s="95">
        <f>SUM(E57:AK57)</f>
        <v>-367802091.78302169</v>
      </c>
      <c r="H62" s="95">
        <f>SUM(E57:AU57)</f>
        <v>-358121371.87110823</v>
      </c>
      <c r="I62" s="97">
        <f>SUM(E57:BE57)</f>
        <v>-351825332.71399629</v>
      </c>
    </row>
    <row r="63" spans="3:57" ht="7.35" customHeight="1">
      <c r="C63" s="18"/>
      <c r="D63" s="18"/>
      <c r="E63" s="18"/>
      <c r="F63" s="18"/>
      <c r="G63" s="18"/>
      <c r="H63" s="18"/>
      <c r="I63" s="18"/>
    </row>
    <row r="64" spans="3:57">
      <c r="C64" s="18"/>
      <c r="D64" s="18"/>
      <c r="E64" s="18"/>
      <c r="F64" s="18"/>
      <c r="G64" s="18"/>
      <c r="H64" s="18"/>
      <c r="I64" s="18"/>
    </row>
    <row r="65" spans="3:11">
      <c r="C65" s="18"/>
      <c r="D65" s="18"/>
      <c r="E65" s="18"/>
      <c r="F65" s="18"/>
      <c r="G65" s="18"/>
      <c r="H65" s="18"/>
      <c r="I65" s="18"/>
    </row>
    <row r="66" spans="3:11">
      <c r="C66" s="396" t="s">
        <v>284</v>
      </c>
      <c r="D66" s="98" t="s">
        <v>282</v>
      </c>
      <c r="E66" s="177">
        <f>IF(H17=0,"n/a",(H19*(SUM(E55:G55)*(-1)+((-1)*SUM(E32:AA32)*'Cash-Flow Model'!H19)+(-1)*SUM(E34:AA34)))/NPV('Economic parameters'!C40,'Cash-Flow Model'!H15:AA15))</f>
        <v>3415.6596606202929</v>
      </c>
      <c r="F66" s="177">
        <f>IF(H17=0,"n/a",((SUM(E55:G55)*(-1)+((-1)*SUM(E32:AF32)*'Cash-Flow Model'!H19)+(-1)*SUM(E34:AF34)))/NPV('Economic parameters'!C40,'Cash-Flow Model'!H15:AF15))</f>
        <v>3659.041514324113</v>
      </c>
      <c r="G66" s="177">
        <f>IF(H17=0,"n/a",((SUM(E55:G55)*(-1)+((-1)*SUM(E32:AK32)*'Cash-Flow Model'!H19)+(-1)*SUM(E34:AK34)))/NPV('Economic parameters'!C40,'Cash-Flow Model'!H15:AK15))</f>
        <v>3402.3606512044826</v>
      </c>
      <c r="H66" s="177">
        <f>IF(H17=0,"n/a",((SUM(E55:G55)*(-1)+((-1)*SUM(E32:AU32)*'Cash-Flow Model'!H19)+(-1)*SUM(E34:AU34)))/NPV('Economic parameters'!C40,'Cash-Flow Model'!H15:AU15))</f>
        <v>3111.9705281091356</v>
      </c>
      <c r="I66" s="178">
        <f>IF(H17=0,"n/a",((SUM(E55:G55)*(-1)+((-1)*SUM(E32:BE32)*'Cash-Flow Model'!H19)+(-1)*SUM(E34:BE34)))/NPV('Economic parameters'!C40,'Cash-Flow Model'!H15:BE15))</f>
        <v>2965.532002809678</v>
      </c>
    </row>
    <row r="67" spans="3:11">
      <c r="C67" s="397"/>
      <c r="D67" s="99" t="s">
        <v>283</v>
      </c>
      <c r="E67" s="179">
        <f>(H20*SUM(E55:G55)*(-1)+(-1)*(SUM(E32:AA32)*'Cash-Flow Model'!H20+(-1)*SUM(E36:AA36)))/NPV('Economic parameters'!C40,'Cash-Flow Model'!H16:AA16)</f>
        <v>86.565340266068219</v>
      </c>
      <c r="F67" s="179">
        <f>(SUM(E55:G55)*(-1)+(-1)*(SUM(E32:AF32)*'Cash-Flow Model'!H20+(-1)*SUM(E36:AF36)))/NPV('Economic parameters'!C40,'Cash-Flow Model'!H16:AF16)</f>
        <v>441.76677965739901</v>
      </c>
      <c r="G67" s="179">
        <f>(SUM(E55:G55)*(-1)+(-1)*(SUM(E32:AK32)*'Cash-Flow Model'!H20+(-1)*SUM(E36:AK36)))/NPV('Economic parameters'!C40,'Cash-Flow Model'!H16:AK16)</f>
        <v>408.08916565460567</v>
      </c>
      <c r="H67" s="179">
        <f>(SUM(E55:G55)*(-1)+(-1)*(SUM(E32:AU32)*'Cash-Flow Model'!H20+(-1)*SUM(E36:AU36)))/NPV('Economic parameters'!C40,'Cash-Flow Model'!H16:AU16)</f>
        <v>369.98875428396605</v>
      </c>
      <c r="I67" s="180">
        <f>(SUM(E55:G55)*(-1)+(-1)*(SUM(E32:BE32)*'Cash-Flow Model'!H20+(-1)*SUM(E36:BE36)))/NPV('Economic parameters'!C40,'Cash-Flow Model'!H16:BE16)</f>
        <v>350.77540089939765</v>
      </c>
    </row>
    <row r="68" spans="3:11">
      <c r="D68" s="143"/>
      <c r="E68" s="181"/>
      <c r="F68" s="181"/>
      <c r="G68" s="181"/>
      <c r="H68" s="181"/>
      <c r="I68" s="181"/>
      <c r="J68" s="88"/>
      <c r="K68" s="88"/>
    </row>
    <row r="69" spans="3:11">
      <c r="E69" s="20"/>
      <c r="F69" s="20"/>
      <c r="G69" s="20"/>
      <c r="H69" s="20"/>
      <c r="I69" s="20"/>
    </row>
    <row r="70" spans="3:11">
      <c r="C70" s="396" t="s">
        <v>296</v>
      </c>
      <c r="D70" s="98" t="s">
        <v>297</v>
      </c>
      <c r="E70" s="177">
        <f>IF(H17=0,"n/a",(H19*NPV('Economic parameters'!C40,SUM(E48:AA48)*(-1)+((-1)*SUM(E32:AA32)*'Cash-Flow Model'!H19))/NPV('Economic parameters'!C44,'Cash-Flow Model'!H15:AA15)))</f>
        <v>2009.9174557277979</v>
      </c>
      <c r="F70" s="177">
        <f>IF(H17=0,"n/a",(H19*NPV('Economic parameters'!C40,SUM(E48:AF48)*(-1)+((-1)*SUM(E32:AF32)*'Cash-Flow Model'!H19))/NPV('Economic parameters'!C44,'Cash-Flow Model'!H15:AF15)))</f>
        <v>1624.6006723947303</v>
      </c>
      <c r="G70" s="177">
        <f>IF(H17=0,"n/a",(H19*NPV('Economic parameters'!C40,SUM(E48:AK48)*(-1)+((-1)*SUM(E32:AK32)*'Cash-Flow Model'!H19))/NPV('Economic parameters'!C44,'Cash-Flow Model'!H15:AK15)))</f>
        <v>1364.4910562002763</v>
      </c>
      <c r="H70" s="177">
        <f>IF(H17=0,"n/a",(H19*NPV('Economic parameters'!C40,SUM(E48:AU48)*(-1)+((-1)*SUM(E32:AU32)*'Cash-Flow Model'!H19))/NPV('Economic parameters'!C44,'Cash-Flow Model'!H15:AU15)))</f>
        <v>1034.2073001628416</v>
      </c>
      <c r="I70" s="178">
        <f>IF(H17=0,"n/a",(H19*NPV('Economic parameters'!C40,SUM(E48:BE48)*(-1)+((-1)*SUM(E32:BE32)*'Cash-Flow Model'!H19))/NPV('Economic parameters'!C44,'Cash-Flow Model'!H15:BE15)))</f>
        <v>832.47119049580419</v>
      </c>
    </row>
    <row r="71" spans="3:11">
      <c r="C71" s="397"/>
      <c r="D71" s="99" t="s">
        <v>298</v>
      </c>
      <c r="E71" s="179">
        <f>(H20*NPV('Economic parameters'!C40,SUM(E48:G48))*(-1)+(-1)*(SUM(E32:AA32)*'Cash-Flow Model'!H20))/NPV('Economic parameters'!C44,'Cash-Flow Model'!H16:AA16)</f>
        <v>51.329806842212136</v>
      </c>
      <c r="F71" s="179">
        <f>(H20*NPV('Economic parameters'!C40,SUM(E48:AF48))*(-1)+(-1)*(SUM(E32:AF32)*'Cash-Flow Model'!H20))/NPV('Economic parameters'!C44,'Cash-Flow Model'!H16:AF16)</f>
        <v>41.586947563998535</v>
      </c>
      <c r="G71" s="179">
        <f>(H20*NPV('Economic parameters'!C40,SUM(E48:AK48))*(-1)+(-1)*(SUM(E32:AK32)*'Cash-Flow Model'!H20))/NPV('Economic parameters'!C44,'Cash-Flow Model'!H16:AK16)</f>
        <v>34.990275850874973</v>
      </c>
      <c r="H71" s="179">
        <f>(H20*NPV('Economic parameters'!C40,SUM(E48:AU48))*(-1)+(-1)*(SUM(E32:AU32)*'Cash-Flow Model'!H20))/NPV('Economic parameters'!C44,'Cash-Flow Model'!H16:AU16)</f>
        <v>26.582900513148353</v>
      </c>
      <c r="I71" s="180">
        <f>(H20*NPV('Economic parameters'!C40,SUM(E48:BE48))*(-1)+(-1)*(SUM(E32:BE32)*'Cash-Flow Model'!H20))/NPV('Economic parameters'!C44,'Cash-Flow Model'!H16:BE16)</f>
        <v>21.426557181787818</v>
      </c>
    </row>
    <row r="72" spans="3:11">
      <c r="E72" s="20"/>
      <c r="F72" s="20"/>
      <c r="G72" s="20"/>
      <c r="H72" s="20"/>
      <c r="I72" s="20"/>
    </row>
    <row r="73" spans="3:11">
      <c r="D73" s="2" t="s">
        <v>291</v>
      </c>
      <c r="E73" s="174" t="str">
        <f>IF(E61&gt;0,IRR(E55:AA55),"n/a")</f>
        <v>n/a</v>
      </c>
      <c r="F73" s="174" t="str">
        <f>IF(F61&gt;0,IRR(E55:AF55),"n/a")</f>
        <v>n/a</v>
      </c>
      <c r="G73" s="174" t="str">
        <f>IF(G61&gt;0,IRR(E55:AK55),"n/a")</f>
        <v>n/a</v>
      </c>
      <c r="H73" s="174" t="str">
        <f>IF(H61&gt;0,IRR(E55:AU55),"n/a")</f>
        <v>n/a</v>
      </c>
      <c r="I73" s="174" t="str">
        <f>IF(I61&gt;0,IRR(E55:BE55),"n/a")</f>
        <v>n/a</v>
      </c>
    </row>
    <row r="74" spans="3:11">
      <c r="D74" s="2" t="s">
        <v>290</v>
      </c>
      <c r="E74" s="182">
        <f>E61/((-1)*NPV('Economic parameters'!C40,'Cash-Flow Model'!E52:AA52))</f>
        <v>-1.0021600385565521</v>
      </c>
      <c r="F74" s="20"/>
      <c r="G74" s="20"/>
      <c r="H74" s="20"/>
      <c r="I74" s="20"/>
    </row>
  </sheetData>
  <sheetProtection algorithmName="SHA-512" hashValue="lrneraWLR+OcbRj0Be0D4gS3N8m8xUTucUQNKZCBP5P9WvkOZSHVOq8jKfbtBVDPnbQ3Hgal8sXg57SQfTmFJw==" saltValue="jihN/P+6HsX/1QhIWJVaxg==" spinCount="100000" sheet="1" objects="1" scenarios="1" selectLockedCells="1"/>
  <mergeCells count="12">
    <mergeCell ref="C70:C71"/>
    <mergeCell ref="C8:C13"/>
    <mergeCell ref="C15:C16"/>
    <mergeCell ref="C38:D38"/>
    <mergeCell ref="C43:D43"/>
    <mergeCell ref="C31:C36"/>
    <mergeCell ref="C66:C67"/>
    <mergeCell ref="C61:C62"/>
    <mergeCell ref="C23:C29"/>
    <mergeCell ref="C46:D46"/>
    <mergeCell ref="C48:C52"/>
    <mergeCell ref="C54:C57"/>
  </mergeCells>
  <phoneticPr fontId="2" type="noConversion"/>
  <pageMargins left="0.7" right="0.7" top="0.78740157499999996" bottom="0.78740157499999996" header="0.3" footer="0.3"/>
  <customProperties>
    <customPr name="EpmWorksheetKeyString_GUID" r:id="rId1"/>
  </customProperties>
  <ignoredErrors>
    <ignoredError sqref="H33:AW37"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D49FD-6FE7-44AA-99CE-35A5904A58C0}">
  <dimension ref="B1:M51"/>
  <sheetViews>
    <sheetView showGridLines="0" zoomScale="80" zoomScaleNormal="80" workbookViewId="0">
      <selection sqref="A1:XFD1048576"/>
    </sheetView>
  </sheetViews>
  <sheetFormatPr baseColWidth="10" defaultColWidth="11.5546875" defaultRowHeight="14.4"/>
  <cols>
    <col min="1" max="1" width="2.33203125" style="2" customWidth="1"/>
    <col min="2" max="2" width="38.44140625" style="2" customWidth="1"/>
    <col min="3" max="3" width="24.44140625" style="2" customWidth="1"/>
    <col min="4" max="8" width="13" style="2" customWidth="1"/>
    <col min="9" max="9" width="17.6640625" style="2" customWidth="1"/>
    <col min="10" max="10" width="52.33203125" style="2" customWidth="1"/>
    <col min="11" max="15" width="13" style="2" customWidth="1"/>
    <col min="16" max="16" width="11.6640625" style="2" bestFit="1" customWidth="1"/>
    <col min="17" max="16384" width="11.5546875" style="2"/>
  </cols>
  <sheetData>
    <row r="1" spans="2:13" ht="18">
      <c r="B1" s="7" t="s">
        <v>50</v>
      </c>
    </row>
    <row r="2" spans="2:13">
      <c r="B2" s="10" t="s">
        <v>51</v>
      </c>
    </row>
    <row r="3" spans="2:13" ht="7.5" customHeight="1">
      <c r="C3" s="10"/>
    </row>
    <row r="4" spans="2:13" ht="28.35" customHeight="1">
      <c r="B4" s="354" t="s">
        <v>55</v>
      </c>
      <c r="C4" s="355"/>
      <c r="D4" s="360"/>
      <c r="E4" s="361"/>
      <c r="I4" s="362" t="s">
        <v>54</v>
      </c>
      <c r="J4" s="363"/>
      <c r="K4" s="364"/>
    </row>
    <row r="5" spans="2:13" ht="16.95" customHeight="1">
      <c r="B5" s="352" t="s">
        <v>174</v>
      </c>
      <c r="C5" s="353"/>
      <c r="D5" s="365" t="str">
        <f>'Technical parameters PROD'!C13</f>
        <v>Electricity, Heat, CO2 Allowances</v>
      </c>
      <c r="E5" s="366"/>
      <c r="I5" s="11"/>
      <c r="J5" s="22"/>
      <c r="K5" s="105"/>
    </row>
    <row r="6" spans="2:13" ht="16.95" customHeight="1">
      <c r="B6" s="358" t="s">
        <v>176</v>
      </c>
      <c r="C6" s="359"/>
      <c r="D6" s="13">
        <f>'Technical parameters TEMP'!C9</f>
        <v>6000</v>
      </c>
      <c r="E6" s="19" t="s">
        <v>4</v>
      </c>
      <c r="I6" s="106" t="s">
        <v>177</v>
      </c>
      <c r="J6" s="107"/>
      <c r="K6" s="108"/>
    </row>
    <row r="7" spans="2:13" ht="16.95" customHeight="1">
      <c r="B7" s="167" t="s">
        <v>300</v>
      </c>
      <c r="C7" s="155"/>
      <c r="D7" s="11">
        <f>MAX('Technical parameters TEMP'!C49,'Technical parameters TEMP'!C28,'Technical parameters TEMP'!C7)-273.15</f>
        <v>122.86364012958239</v>
      </c>
      <c r="E7" s="30" t="s">
        <v>302</v>
      </c>
      <c r="I7" s="129"/>
      <c r="J7" s="22"/>
      <c r="K7" s="168"/>
    </row>
    <row r="8" spans="2:13" ht="16.95" customHeight="1">
      <c r="B8" s="358" t="s">
        <v>40</v>
      </c>
      <c r="C8" s="359"/>
      <c r="D8" s="13">
        <f>'Technical parameters TEMP'!C30</f>
        <v>7000</v>
      </c>
      <c r="E8" s="19" t="s">
        <v>4</v>
      </c>
      <c r="I8" s="13"/>
      <c r="J8" s="107"/>
      <c r="K8" s="144"/>
    </row>
    <row r="9" spans="2:13" ht="16.95" customHeight="1">
      <c r="B9" s="352" t="s">
        <v>202</v>
      </c>
      <c r="C9" s="353"/>
      <c r="D9" s="11">
        <f>'Technical parameters PROD'!$C$9</f>
        <v>6</v>
      </c>
      <c r="E9" s="30"/>
      <c r="I9" s="11"/>
      <c r="J9" s="22"/>
      <c r="K9" s="105"/>
    </row>
    <row r="10" spans="2:13" ht="16.95" customHeight="1">
      <c r="B10" s="358" t="s">
        <v>286</v>
      </c>
      <c r="C10" s="359"/>
      <c r="D10" s="13">
        <f>'Technical parameters PROD'!C11</f>
        <v>8.5</v>
      </c>
      <c r="E10" s="19" t="s">
        <v>30</v>
      </c>
      <c r="I10" s="13"/>
      <c r="J10" s="107"/>
      <c r="K10" s="144"/>
    </row>
    <row r="11" spans="2:13" ht="16.95" customHeight="1">
      <c r="B11" s="352" t="s">
        <v>305</v>
      </c>
      <c r="C11" s="353"/>
      <c r="D11" s="173">
        <f>IF('Technical parameters PROD'!C16="n/a","not planned",'Technical parameters PROD'!C20)</f>
        <v>1.1314347236989393</v>
      </c>
      <c r="E11" s="30" t="s">
        <v>303</v>
      </c>
      <c r="I11" s="11"/>
      <c r="J11" s="22"/>
      <c r="K11" s="105"/>
    </row>
    <row r="12" spans="2:13" ht="16.95" customHeight="1">
      <c r="B12" s="356" t="s">
        <v>175</v>
      </c>
      <c r="C12" s="357"/>
      <c r="D12" s="169">
        <f>IF('Technical parameters PROD'!C24="n/a","not planned",'Technical parameters PROD'!C26)</f>
        <v>17.246924999999997</v>
      </c>
      <c r="E12" s="183" t="s">
        <v>304</v>
      </c>
      <c r="I12" s="170"/>
      <c r="J12" s="171"/>
      <c r="K12" s="172"/>
    </row>
    <row r="13" spans="2:13" ht="16.95" customHeight="1"/>
    <row r="14" spans="2:13" ht="28.35" customHeight="1">
      <c r="B14" s="354" t="s">
        <v>38</v>
      </c>
      <c r="C14" s="355"/>
      <c r="D14" s="360" t="s">
        <v>253</v>
      </c>
      <c r="E14" s="409"/>
      <c r="I14" s="127" t="s">
        <v>54</v>
      </c>
      <c r="J14" s="128"/>
      <c r="K14" s="367" t="s">
        <v>178</v>
      </c>
      <c r="L14" s="368"/>
      <c r="M14" s="133"/>
    </row>
    <row r="15" spans="2:13" ht="16.95" customHeight="1">
      <c r="B15" s="352" t="s">
        <v>237</v>
      </c>
      <c r="C15" s="353"/>
      <c r="D15" s="11">
        <f>'Economic parameters'!C19</f>
        <v>33036505.902651243</v>
      </c>
      <c r="E15" s="22" t="s">
        <v>48</v>
      </c>
      <c r="I15" s="129"/>
      <c r="J15" s="105"/>
      <c r="K15" s="11" t="s">
        <v>259</v>
      </c>
      <c r="L15" s="22"/>
      <c r="M15" s="105"/>
    </row>
    <row r="16" spans="2:13" ht="40.5" customHeight="1">
      <c r="B16" s="383" t="s">
        <v>124</v>
      </c>
      <c r="C16" s="384"/>
      <c r="D16" s="125">
        <f>'Economic parameters'!C21</f>
        <v>5525738.8947957568</v>
      </c>
      <c r="E16" s="126" t="s">
        <v>48</v>
      </c>
      <c r="I16" s="371" t="s">
        <v>245</v>
      </c>
      <c r="J16" s="372"/>
      <c r="K16" s="134">
        <v>4000000</v>
      </c>
      <c r="L16" s="373" t="s">
        <v>252</v>
      </c>
      <c r="M16" s="374"/>
    </row>
    <row r="17" spans="2:13" ht="16.95" customHeight="1">
      <c r="B17" s="352" t="s">
        <v>167</v>
      </c>
      <c r="C17" s="353"/>
      <c r="D17" s="11">
        <f>'Economic parameters'!C22</f>
        <v>1000000</v>
      </c>
      <c r="E17" s="22" t="s">
        <v>49</v>
      </c>
      <c r="J17" s="105"/>
      <c r="K17" s="129" t="s">
        <v>246</v>
      </c>
      <c r="L17" s="22"/>
      <c r="M17" s="24"/>
    </row>
    <row r="18" spans="2:13" ht="16.95" customHeight="1">
      <c r="B18" s="381" t="s">
        <v>32</v>
      </c>
      <c r="C18" s="382"/>
      <c r="D18" s="14">
        <f>D15+D16+D17</f>
        <v>39562244.797446996</v>
      </c>
      <c r="E18" s="132" t="s">
        <v>49</v>
      </c>
      <c r="I18" s="130"/>
      <c r="J18" s="131"/>
      <c r="K18" s="14"/>
      <c r="L18" s="132"/>
      <c r="M18" s="15"/>
    </row>
    <row r="19" spans="2:13" ht="9.6" customHeight="1">
      <c r="C19" s="16"/>
      <c r="D19" s="17"/>
      <c r="E19" s="17"/>
      <c r="F19" s="17"/>
      <c r="G19" s="17"/>
      <c r="H19" s="17"/>
    </row>
    <row r="20" spans="2:13" ht="28.35" customHeight="1">
      <c r="B20" s="375" t="s">
        <v>179</v>
      </c>
      <c r="C20" s="376"/>
      <c r="D20" s="115" t="s">
        <v>155</v>
      </c>
      <c r="E20" s="116" t="s">
        <v>156</v>
      </c>
      <c r="F20" s="117" t="s">
        <v>157</v>
      </c>
      <c r="G20" s="116" t="s">
        <v>158</v>
      </c>
      <c r="H20" s="116" t="s">
        <v>159</v>
      </c>
    </row>
    <row r="21" spans="2:13" ht="24.6" customHeight="1">
      <c r="B21" s="387" t="s">
        <v>161</v>
      </c>
      <c r="C21" s="378"/>
      <c r="D21" s="109">
        <f>'Cash-Flow Model GeoVision'!E61</f>
        <v>25078776.71734909</v>
      </c>
      <c r="E21" s="109">
        <f>'Cash-Flow Model GeoVision'!F61</f>
        <v>37590766.169455037</v>
      </c>
      <c r="F21" s="109">
        <f>'Cash-Flow Model GeoVision'!G61</f>
        <v>45715185.755244702</v>
      </c>
      <c r="G21" s="109">
        <f>'Cash-Flow Model GeoVision'!H61</f>
        <v>56732583.5130914</v>
      </c>
      <c r="H21" s="110">
        <f>'Cash-Flow Model GeoVision'!I61</f>
        <v>63219302.086029366</v>
      </c>
    </row>
    <row r="22" spans="2:13" ht="24.6" customHeight="1">
      <c r="B22" s="385" t="s">
        <v>162</v>
      </c>
      <c r="C22" s="386"/>
      <c r="D22" s="112">
        <f>'Cash-Flow Model GeoVision'!E62</f>
        <v>32780778.030971814</v>
      </c>
      <c r="E22" s="112">
        <f>'Cash-Flow Model GeoVision'!F62</f>
        <v>48819979.826954752</v>
      </c>
      <c r="F22" s="112">
        <f>'Cash-Flow Model GeoVision'!G62</f>
        <v>59760025.934711233</v>
      </c>
      <c r="G22" s="112">
        <f>'Cash-Flow Model GeoVision'!H62</f>
        <v>75697741.363142326</v>
      </c>
      <c r="H22" s="113">
        <f>'Cash-Flow Model GeoVision'!I62</f>
        <v>86063135.809563786</v>
      </c>
    </row>
    <row r="23" spans="2:13" ht="11.1" customHeight="1">
      <c r="B23" s="136"/>
      <c r="C23" s="136"/>
      <c r="D23" s="156"/>
      <c r="E23" s="137"/>
      <c r="F23" s="137"/>
      <c r="G23" s="137"/>
      <c r="H23" s="137"/>
      <c r="I23" s="137"/>
      <c r="J23" s="137"/>
    </row>
    <row r="24" spans="2:13" ht="24.6" customHeight="1">
      <c r="B24" s="375" t="s">
        <v>271</v>
      </c>
      <c r="C24" s="376"/>
      <c r="D24" s="115"/>
      <c r="E24" s="137"/>
      <c r="F24" s="137"/>
      <c r="G24" s="137"/>
      <c r="H24" s="137"/>
      <c r="I24" s="137"/>
      <c r="J24" s="137"/>
    </row>
    <row r="25" spans="2:13" ht="24.6" customHeight="1">
      <c r="B25" s="377" t="s">
        <v>269</v>
      </c>
      <c r="C25" s="378"/>
      <c r="D25" s="139">
        <f>IF('Cash-Flow Model GeoVision'!H11="n/a","n/a",(((D15+D16)*'Cash-Flow Model GeoVision'!$H$19)/D11)/1000)</f>
        <v>28627.370871389714</v>
      </c>
      <c r="E25" s="137"/>
      <c r="F25" s="137"/>
      <c r="G25" s="137"/>
      <c r="H25" s="137"/>
      <c r="I25" s="137"/>
      <c r="J25" s="137"/>
    </row>
    <row r="26" spans="2:13" ht="24" customHeight="1">
      <c r="B26" s="379" t="s">
        <v>270</v>
      </c>
      <c r="C26" s="380"/>
      <c r="D26" s="138">
        <f>(((D15+D17)*'Cash-Flow Model GeoVision'!$H$20)/D12)/1000</f>
        <v>315.87410780217567</v>
      </c>
      <c r="E26" s="18"/>
      <c r="F26" s="18"/>
      <c r="G26" s="18"/>
      <c r="H26" s="18"/>
      <c r="I26" s="18"/>
      <c r="J26" s="18"/>
      <c r="K26" s="18"/>
      <c r="L26" s="18"/>
      <c r="M26" s="18"/>
    </row>
    <row r="27" spans="2:13" ht="13.5" customHeight="1">
      <c r="B27" s="18"/>
      <c r="C27" s="18"/>
      <c r="D27" s="18"/>
      <c r="E27" s="18"/>
      <c r="F27" s="18"/>
      <c r="G27" s="18"/>
      <c r="H27" s="18"/>
      <c r="I27" s="18"/>
      <c r="J27" s="18"/>
      <c r="K27" s="18"/>
      <c r="L27" s="18"/>
      <c r="M27" s="18"/>
    </row>
    <row r="28" spans="2:13" ht="28.35" customHeight="1">
      <c r="B28" s="375" t="s">
        <v>285</v>
      </c>
      <c r="C28" s="388"/>
      <c r="D28" s="145" t="s">
        <v>155</v>
      </c>
      <c r="E28" s="119" t="s">
        <v>156</v>
      </c>
      <c r="F28" s="118" t="s">
        <v>157</v>
      </c>
      <c r="G28" s="119" t="s">
        <v>158</v>
      </c>
      <c r="H28" s="146" t="s">
        <v>159</v>
      </c>
      <c r="I28" s="18"/>
      <c r="J28" s="18"/>
      <c r="K28" s="18"/>
    </row>
    <row r="29" spans="2:13" ht="9.6" customHeight="1">
      <c r="C29" s="20"/>
      <c r="D29" s="111"/>
      <c r="E29" s="111"/>
      <c r="F29" s="114"/>
      <c r="G29" s="111"/>
      <c r="H29" s="111"/>
    </row>
    <row r="30" spans="2:13" ht="16.95" customHeight="1">
      <c r="B30" s="389" t="s">
        <v>284</v>
      </c>
      <c r="C30" s="165" t="str">
        <f>'Cash-Flow Model GeoVision'!D66</f>
        <v>Total UTC of Electricity</v>
      </c>
      <c r="D30" s="151">
        <f>'Cash-Flow Model GeoVision'!E66</f>
        <v>373.25210109775702</v>
      </c>
      <c r="E30" s="151">
        <f>'Cash-Flow Model GeoVision'!F66</f>
        <v>335.86883215048346</v>
      </c>
      <c r="F30" s="151">
        <f>'Cash-Flow Model GeoVision'!G66</f>
        <v>312.32181141654053</v>
      </c>
      <c r="G30" s="151">
        <f>'Cash-Flow Model GeoVision'!H66</f>
        <v>285.68241895715204</v>
      </c>
      <c r="H30" s="152">
        <f>'Cash-Flow Model GeoVision'!I66</f>
        <v>272.24865163392445</v>
      </c>
    </row>
    <row r="31" spans="2:13" ht="16.95" customHeight="1">
      <c r="B31" s="390"/>
      <c r="C31" s="166" t="str">
        <f>'Cash-Flow Model GeoVision'!D67</f>
        <v>Total UTC of Heat</v>
      </c>
      <c r="D31" s="153">
        <f>'Cash-Flow Model GeoVision'!E67</f>
        <v>45.192916639904517</v>
      </c>
      <c r="E31" s="153">
        <f>'Cash-Flow Model GeoVision'!F67</f>
        <v>40.288073768224876</v>
      </c>
      <c r="F31" s="153">
        <f>'Cash-Flow Model GeoVision'!G67</f>
        <v>37.198605135637692</v>
      </c>
      <c r="G31" s="153">
        <f>'Cash-Flow Model GeoVision'!H67</f>
        <v>33.703404263969766</v>
      </c>
      <c r="H31" s="154">
        <f>'Cash-Flow Model GeoVision'!I67</f>
        <v>31.940837218587234</v>
      </c>
    </row>
    <row r="33" spans="2:8">
      <c r="B33" s="369" t="s">
        <v>296</v>
      </c>
      <c r="C33" s="163" t="str">
        <f>'Cash-Flow Model GeoVision'!D70</f>
        <v>Subsurface UTC of Electricity</v>
      </c>
      <c r="D33" s="159">
        <f>'Cash-Flow Model GeoVision'!E70</f>
        <v>157.1114746524411</v>
      </c>
      <c r="E33" s="159">
        <f>'Cash-Flow Model GeoVision'!F70</f>
        <v>126.99198498619882</v>
      </c>
      <c r="F33" s="159">
        <f>'Cash-Flow Model GeoVision'!G70</f>
        <v>102.2836329192176</v>
      </c>
      <c r="G33" s="159">
        <f>'Cash-Flow Model GeoVision'!H70</f>
        <v>80.84204331966815</v>
      </c>
      <c r="H33" s="160">
        <f>'Cash-Flow Model GeoVision'!I70</f>
        <v>65.072710310438723</v>
      </c>
    </row>
    <row r="34" spans="2:8">
      <c r="B34" s="370"/>
      <c r="C34" s="164" t="str">
        <f>'Cash-Flow Model GeoVision'!D71</f>
        <v>Subsurface UTC of Heat</v>
      </c>
      <c r="D34" s="161">
        <f>'Cash-Flow Model GeoVision'!E71</f>
        <v>4.012354648507058</v>
      </c>
      <c r="E34" s="161">
        <f>'Cash-Flow Model GeoVision'!F71</f>
        <v>3.2507736272719949</v>
      </c>
      <c r="F34" s="161">
        <f>'Cash-Flow Model GeoVision'!G71</f>
        <v>2.7351241822197347</v>
      </c>
      <c r="G34" s="161">
        <f>'Cash-Flow Model GeoVision'!H71</f>
        <v>2.0779354337452398</v>
      </c>
      <c r="H34" s="162">
        <f>'Cash-Flow Model GeoVision'!I71</f>
        <v>1.6748737546222101</v>
      </c>
    </row>
    <row r="48" spans="2:8" ht="14.7" customHeight="1"/>
    <row r="51" s="2" customFormat="1" ht="14.7" customHeight="1"/>
  </sheetData>
  <sheetProtection algorithmName="SHA-512" hashValue="zFNeClEsJFl+0MI1b9tMz/ZyGC+ftG9HYbhKDn8cRa1aDeowYo0NdAHCXflClBCrWXyMFYBWzL4Z0riEt7Xn5w==" saltValue="WyC3BdbZueWrACU5JvfsbA==" spinCount="100000" sheet="1" objects="1" scenarios="1" selectLockedCells="1"/>
  <mergeCells count="29">
    <mergeCell ref="B6:C6"/>
    <mergeCell ref="B33:B34"/>
    <mergeCell ref="B4:C4"/>
    <mergeCell ref="D4:E4"/>
    <mergeCell ref="I4:K4"/>
    <mergeCell ref="B5:C5"/>
    <mergeCell ref="D5:E5"/>
    <mergeCell ref="I16:J16"/>
    <mergeCell ref="B8:C8"/>
    <mergeCell ref="B9:C9"/>
    <mergeCell ref="B10:C10"/>
    <mergeCell ref="B11:C11"/>
    <mergeCell ref="B12:C12"/>
    <mergeCell ref="B14:C14"/>
    <mergeCell ref="D14:E14"/>
    <mergeCell ref="K14:L14"/>
    <mergeCell ref="B15:C15"/>
    <mergeCell ref="B16:C16"/>
    <mergeCell ref="L16:M16"/>
    <mergeCell ref="B25:C25"/>
    <mergeCell ref="B26:C26"/>
    <mergeCell ref="B28:C28"/>
    <mergeCell ref="B30:B31"/>
    <mergeCell ref="B17:C17"/>
    <mergeCell ref="B18:C18"/>
    <mergeCell ref="B20:C20"/>
    <mergeCell ref="B21:C21"/>
    <mergeCell ref="B22:C22"/>
    <mergeCell ref="B24:C24"/>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64467-5F1D-4CE0-A521-534BA944425C}">
  <dimension ref="C1:BE75"/>
  <sheetViews>
    <sheetView showGridLines="0" tabSelected="1" topLeftCell="A17" zoomScale="80" zoomScaleNormal="80" workbookViewId="0">
      <selection sqref="A1:XFD1048576"/>
    </sheetView>
  </sheetViews>
  <sheetFormatPr baseColWidth="10" defaultColWidth="11.5546875" defaultRowHeight="14.4"/>
  <cols>
    <col min="1" max="1" width="11.5546875" style="2"/>
    <col min="2" max="2" width="15.33203125" style="2" customWidth="1"/>
    <col min="3" max="3" width="27.33203125" style="2" customWidth="1"/>
    <col min="4" max="4" width="38.33203125" style="2" customWidth="1"/>
    <col min="5" max="7" width="13" style="2" customWidth="1"/>
    <col min="8" max="8" width="15.5546875" style="2" customWidth="1"/>
    <col min="9" max="9" width="15.33203125" style="2" customWidth="1"/>
    <col min="10" max="10" width="15.109375" style="2" customWidth="1"/>
    <col min="11" max="11" width="15.33203125" style="2" customWidth="1"/>
    <col min="12" max="32" width="13.44140625" style="2" customWidth="1"/>
    <col min="33" max="16384" width="11.5546875" style="2"/>
  </cols>
  <sheetData>
    <row r="1" spans="3:57" ht="18">
      <c r="C1" s="7" t="s">
        <v>133</v>
      </c>
    </row>
    <row r="2" spans="3:57">
      <c r="C2" s="21" t="s">
        <v>53</v>
      </c>
      <c r="D2" s="31"/>
      <c r="I2" s="23"/>
      <c r="J2" s="23"/>
      <c r="K2" s="23"/>
      <c r="L2" s="23"/>
      <c r="M2" s="23"/>
      <c r="N2" s="23"/>
    </row>
    <row r="4" spans="3:57">
      <c r="C4" s="33"/>
    </row>
    <row r="5" spans="3:57" ht="15.75" customHeight="1">
      <c r="C5" s="17"/>
      <c r="D5" s="34" t="s">
        <v>134</v>
      </c>
      <c r="E5" s="35">
        <v>0</v>
      </c>
      <c r="F5" s="35">
        <v>1</v>
      </c>
      <c r="G5" s="35">
        <v>2</v>
      </c>
      <c r="H5" s="35">
        <v>3</v>
      </c>
      <c r="I5" s="35">
        <v>4</v>
      </c>
      <c r="J5" s="35">
        <v>5</v>
      </c>
      <c r="K5" s="35">
        <v>6</v>
      </c>
      <c r="L5" s="35">
        <v>7</v>
      </c>
      <c r="M5" s="35">
        <v>8</v>
      </c>
      <c r="N5" s="35">
        <v>9</v>
      </c>
      <c r="O5" s="35">
        <v>10</v>
      </c>
      <c r="P5" s="35">
        <v>11</v>
      </c>
      <c r="Q5" s="35">
        <v>12</v>
      </c>
      <c r="R5" s="35">
        <v>13</v>
      </c>
      <c r="S5" s="35">
        <v>14</v>
      </c>
      <c r="T5" s="35">
        <v>15</v>
      </c>
      <c r="U5" s="35">
        <v>16</v>
      </c>
      <c r="V5" s="35">
        <v>17</v>
      </c>
      <c r="W5" s="35">
        <v>18</v>
      </c>
      <c r="X5" s="35">
        <v>19</v>
      </c>
      <c r="Y5" s="35">
        <v>20</v>
      </c>
      <c r="Z5" s="35">
        <v>21</v>
      </c>
      <c r="AA5" s="35">
        <v>22</v>
      </c>
      <c r="AB5" s="35">
        <v>23</v>
      </c>
      <c r="AC5" s="35">
        <v>24</v>
      </c>
      <c r="AD5" s="35">
        <v>25</v>
      </c>
      <c r="AE5" s="35">
        <v>26</v>
      </c>
      <c r="AF5" s="35">
        <v>27</v>
      </c>
      <c r="AG5" s="35">
        <v>28</v>
      </c>
      <c r="AH5" s="35">
        <v>29</v>
      </c>
      <c r="AI5" s="35">
        <v>30</v>
      </c>
      <c r="AJ5" s="35">
        <v>31</v>
      </c>
      <c r="AK5" s="35">
        <v>32</v>
      </c>
      <c r="AL5" s="35">
        <v>33</v>
      </c>
      <c r="AM5" s="35">
        <v>34</v>
      </c>
      <c r="AN5" s="35">
        <v>35</v>
      </c>
      <c r="AO5" s="35">
        <v>36</v>
      </c>
      <c r="AP5" s="35">
        <v>37</v>
      </c>
      <c r="AQ5" s="35">
        <v>38</v>
      </c>
      <c r="AR5" s="35">
        <v>39</v>
      </c>
      <c r="AS5" s="35">
        <v>40</v>
      </c>
      <c r="AT5" s="35">
        <v>41</v>
      </c>
      <c r="AU5" s="35">
        <v>42</v>
      </c>
      <c r="AV5" s="35">
        <v>43</v>
      </c>
      <c r="AW5" s="35">
        <v>44</v>
      </c>
      <c r="AX5" s="35">
        <v>45</v>
      </c>
      <c r="AY5" s="35">
        <v>46</v>
      </c>
      <c r="AZ5" s="35">
        <v>47</v>
      </c>
      <c r="BA5" s="35">
        <v>48</v>
      </c>
      <c r="BB5" s="35">
        <v>49</v>
      </c>
      <c r="BC5" s="35">
        <v>50</v>
      </c>
      <c r="BD5" s="35">
        <v>51</v>
      </c>
      <c r="BE5" s="35">
        <v>52</v>
      </c>
    </row>
    <row r="6" spans="3:57" ht="12.75" customHeight="1">
      <c r="C6" s="35"/>
      <c r="D6" s="34" t="s">
        <v>135</v>
      </c>
      <c r="E6" s="35"/>
      <c r="F6" s="35"/>
      <c r="G6" s="35"/>
      <c r="H6" s="35">
        <v>1</v>
      </c>
      <c r="I6" s="35">
        <v>2</v>
      </c>
      <c r="J6" s="35">
        <v>3</v>
      </c>
      <c r="K6" s="35">
        <v>4</v>
      </c>
      <c r="L6" s="35">
        <v>5</v>
      </c>
      <c r="M6" s="35">
        <v>6</v>
      </c>
      <c r="N6" s="35">
        <v>7</v>
      </c>
      <c r="O6" s="35">
        <v>8</v>
      </c>
      <c r="P6" s="35">
        <v>9</v>
      </c>
      <c r="Q6" s="35">
        <v>10</v>
      </c>
      <c r="R6" s="35">
        <v>11</v>
      </c>
      <c r="S6" s="35">
        <v>12</v>
      </c>
      <c r="T6" s="35">
        <v>13</v>
      </c>
      <c r="U6" s="35">
        <v>14</v>
      </c>
      <c r="V6" s="35">
        <v>15</v>
      </c>
      <c r="W6" s="35">
        <v>16</v>
      </c>
      <c r="X6" s="35">
        <v>17</v>
      </c>
      <c r="Y6" s="35">
        <v>18</v>
      </c>
      <c r="Z6" s="35">
        <v>19</v>
      </c>
      <c r="AA6" s="35">
        <v>20</v>
      </c>
      <c r="AB6" s="35">
        <v>21</v>
      </c>
      <c r="AC6" s="35">
        <v>22</v>
      </c>
      <c r="AD6" s="35">
        <v>23</v>
      </c>
      <c r="AE6" s="35">
        <v>24</v>
      </c>
      <c r="AF6" s="35">
        <v>25</v>
      </c>
      <c r="AG6" s="35">
        <v>26</v>
      </c>
      <c r="AH6" s="35">
        <v>27</v>
      </c>
      <c r="AI6" s="35">
        <v>28</v>
      </c>
      <c r="AJ6" s="35">
        <v>29</v>
      </c>
      <c r="AK6" s="35">
        <v>30</v>
      </c>
      <c r="AL6" s="35">
        <v>31</v>
      </c>
      <c r="AM6" s="35">
        <v>32</v>
      </c>
      <c r="AN6" s="35">
        <v>33</v>
      </c>
      <c r="AO6" s="35">
        <v>34</v>
      </c>
      <c r="AP6" s="35">
        <v>35</v>
      </c>
      <c r="AQ6" s="35">
        <v>36</v>
      </c>
      <c r="AR6" s="35">
        <v>37</v>
      </c>
      <c r="AS6" s="35">
        <v>38</v>
      </c>
      <c r="AT6" s="35">
        <v>39</v>
      </c>
      <c r="AU6" s="35">
        <v>40</v>
      </c>
      <c r="AV6" s="35">
        <v>41</v>
      </c>
      <c r="AW6" s="35">
        <v>42</v>
      </c>
      <c r="AX6" s="35">
        <v>43</v>
      </c>
      <c r="AY6" s="35">
        <v>44</v>
      </c>
      <c r="AZ6" s="35">
        <v>45</v>
      </c>
      <c r="BA6" s="35">
        <v>46</v>
      </c>
      <c r="BB6" s="35">
        <v>47</v>
      </c>
      <c r="BC6" s="35">
        <v>48</v>
      </c>
      <c r="BD6" s="35">
        <v>49</v>
      </c>
      <c r="BE6" s="35">
        <v>50</v>
      </c>
    </row>
    <row r="7" spans="3:57" ht="7.35" customHeight="1">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row>
    <row r="8" spans="3:57" ht="15.6" customHeight="1">
      <c r="C8" s="398" t="s">
        <v>39</v>
      </c>
      <c r="D8" s="36" t="s">
        <v>139</v>
      </c>
      <c r="E8" s="37"/>
      <c r="F8" s="37"/>
      <c r="G8" s="37"/>
      <c r="H8" s="120">
        <f>MAX('Technical parameters TEMP'!C49,'Technical parameters TEMP'!$C$28,'Technical parameters TEMP'!$C$7)-273.15</f>
        <v>122.86364012958239</v>
      </c>
      <c r="I8" s="120">
        <f>H8-'Technical parameters PROD'!$C$30</f>
        <v>122.86364012958239</v>
      </c>
      <c r="J8" s="120">
        <f>I8-'Technical parameters PROD'!$C$30</f>
        <v>122.86364012958239</v>
      </c>
      <c r="K8" s="120">
        <f>J8-'Technical parameters PROD'!$C$30</f>
        <v>122.86364012958239</v>
      </c>
      <c r="L8" s="120">
        <f>K8-'Technical parameters PROD'!$C$30</f>
        <v>122.86364012958239</v>
      </c>
      <c r="M8" s="120">
        <f>L8-'Technical parameters PROD'!$C$30</f>
        <v>122.86364012958239</v>
      </c>
      <c r="N8" s="120">
        <f>M8-'Technical parameters PROD'!$C$30</f>
        <v>122.86364012958239</v>
      </c>
      <c r="O8" s="120">
        <f>N8-'Technical parameters PROD'!$C$30</f>
        <v>122.86364012958239</v>
      </c>
      <c r="P8" s="120">
        <f>O8-'Technical parameters PROD'!$C$30</f>
        <v>122.86364012958239</v>
      </c>
      <c r="Q8" s="120">
        <f>P8-'Technical parameters PROD'!$C$30</f>
        <v>122.86364012958239</v>
      </c>
      <c r="R8" s="120">
        <f>Q8-'Technical parameters PROD'!$C$30</f>
        <v>122.86364012958239</v>
      </c>
      <c r="S8" s="120">
        <f>R8-'Technical parameters PROD'!$C$30</f>
        <v>122.86364012958239</v>
      </c>
      <c r="T8" s="120">
        <f>S8-'Technical parameters PROD'!$C$30</f>
        <v>122.86364012958239</v>
      </c>
      <c r="U8" s="120">
        <f>T8-'Technical parameters PROD'!$C$30</f>
        <v>122.86364012958239</v>
      </c>
      <c r="V8" s="120">
        <f>U8-'Technical parameters PROD'!$C$30</f>
        <v>122.86364012958239</v>
      </c>
      <c r="W8" s="120">
        <f>V8-'Technical parameters PROD'!$C$30</f>
        <v>122.86364012958239</v>
      </c>
      <c r="X8" s="120">
        <f>W8-'Technical parameters PROD'!$C$30</f>
        <v>122.86364012958239</v>
      </c>
      <c r="Y8" s="120">
        <f>X8-'Technical parameters PROD'!$C$30</f>
        <v>122.86364012958239</v>
      </c>
      <c r="Z8" s="120">
        <f>Y8-'Technical parameters PROD'!$C$30</f>
        <v>122.86364012958239</v>
      </c>
      <c r="AA8" s="120">
        <f>Z8-'Technical parameters PROD'!$C$30</f>
        <v>122.86364012958239</v>
      </c>
      <c r="AB8" s="120">
        <f>AA8-'Technical parameters PROD'!$C$30</f>
        <v>122.86364012958239</v>
      </c>
      <c r="AC8" s="120">
        <f>AB8-'Technical parameters PROD'!$C$30</f>
        <v>122.86364012958239</v>
      </c>
      <c r="AD8" s="120">
        <f>AC8-'Technical parameters PROD'!$C$30</f>
        <v>122.86364012958239</v>
      </c>
      <c r="AE8" s="120">
        <f>AD8-'Technical parameters PROD'!$C$30</f>
        <v>122.86364012958239</v>
      </c>
      <c r="AF8" s="120">
        <f>AE8-'Technical parameters PROD'!$C$30</f>
        <v>122.86364012958239</v>
      </c>
      <c r="AG8" s="120">
        <f>AF8-'Technical parameters PROD'!$C$30</f>
        <v>122.86364012958239</v>
      </c>
      <c r="AH8" s="120">
        <f>AG8-'Technical parameters PROD'!$C$30</f>
        <v>122.86364012958239</v>
      </c>
      <c r="AI8" s="120">
        <f>AH8-'Technical parameters PROD'!$C$30</f>
        <v>122.86364012958239</v>
      </c>
      <c r="AJ8" s="120">
        <f>AI8-'Technical parameters PROD'!$C$30</f>
        <v>122.86364012958239</v>
      </c>
      <c r="AK8" s="120">
        <f>AJ8-'Technical parameters PROD'!$C$30</f>
        <v>122.86364012958239</v>
      </c>
      <c r="AL8" s="120">
        <f>AK8-'Technical parameters PROD'!$C$30</f>
        <v>122.86364012958239</v>
      </c>
      <c r="AM8" s="120">
        <f>AL8-'Technical parameters PROD'!$C$30</f>
        <v>122.86364012958239</v>
      </c>
      <c r="AN8" s="120">
        <f>AM8-'Technical parameters PROD'!$C$30</f>
        <v>122.86364012958239</v>
      </c>
      <c r="AO8" s="120">
        <f>AN8-'Technical parameters PROD'!$C$30</f>
        <v>122.86364012958239</v>
      </c>
      <c r="AP8" s="120">
        <f>AO8-'Technical parameters PROD'!$C$30</f>
        <v>122.86364012958239</v>
      </c>
      <c r="AQ8" s="120">
        <f>AP8-'Technical parameters PROD'!$C$30</f>
        <v>122.86364012958239</v>
      </c>
      <c r="AR8" s="120">
        <f>AQ8-'Technical parameters PROD'!$C$30</f>
        <v>122.86364012958239</v>
      </c>
      <c r="AS8" s="120">
        <f>AR8-'Technical parameters PROD'!$C$30</f>
        <v>122.86364012958239</v>
      </c>
      <c r="AT8" s="120">
        <f>AS8-'Technical parameters PROD'!$C$30</f>
        <v>122.86364012958239</v>
      </c>
      <c r="AU8" s="120">
        <f>AT8-'Technical parameters PROD'!$C$30</f>
        <v>122.86364012958239</v>
      </c>
      <c r="AV8" s="120">
        <f>AU8-'Technical parameters PROD'!$C$30</f>
        <v>122.86364012958239</v>
      </c>
      <c r="AW8" s="120">
        <f>AV8-'Technical parameters PROD'!$C$30</f>
        <v>122.86364012958239</v>
      </c>
      <c r="AX8" s="120">
        <f>AW8-'Technical parameters PROD'!$C$30</f>
        <v>122.86364012958239</v>
      </c>
      <c r="AY8" s="120">
        <f>AX8-'Technical parameters PROD'!$C$30</f>
        <v>122.86364012958239</v>
      </c>
      <c r="AZ8" s="120">
        <f>AY8-'Technical parameters PROD'!$C$30</f>
        <v>122.86364012958239</v>
      </c>
      <c r="BA8" s="120">
        <f>AZ8-'Technical parameters PROD'!$C$30</f>
        <v>122.86364012958239</v>
      </c>
      <c r="BB8" s="120">
        <f>BA8-'Technical parameters PROD'!$C$30</f>
        <v>122.86364012958239</v>
      </c>
      <c r="BC8" s="120">
        <f>BB8-'Technical parameters PROD'!$C$30</f>
        <v>122.86364012958239</v>
      </c>
      <c r="BD8" s="120">
        <f>BC8-'Technical parameters PROD'!$C$30</f>
        <v>122.86364012958239</v>
      </c>
      <c r="BE8" s="120">
        <f>BD8-'Technical parameters PROD'!$C$30</f>
        <v>122.86364012958239</v>
      </c>
    </row>
    <row r="9" spans="3:57" ht="15.6" customHeight="1">
      <c r="C9" s="398"/>
      <c r="D9" s="71" t="s">
        <v>140</v>
      </c>
      <c r="E9" s="72"/>
      <c r="F9" s="72"/>
      <c r="G9" s="72"/>
      <c r="H9" s="121">
        <f>'Technical parameters PROD'!C16</f>
        <v>122.86364012958239</v>
      </c>
      <c r="I9" s="121">
        <f>IF($H$9="n/a","n/a",H9*(1-'Technical parameters PROD'!$C$21))</f>
        <v>122.86364012958239</v>
      </c>
      <c r="J9" s="121">
        <f>IF($H$9="n/a","n/a",I9*(1-'Technical parameters PROD'!$C$21))</f>
        <v>122.86364012958239</v>
      </c>
      <c r="K9" s="121">
        <f>IF($H$9="n/a","n/a",J9*(1-'Technical parameters PROD'!$C$21))</f>
        <v>122.86364012958239</v>
      </c>
      <c r="L9" s="121">
        <f>IF($H$9="n/a","n/a",K9*(1-'Technical parameters PROD'!$C$21))</f>
        <v>122.86364012958239</v>
      </c>
      <c r="M9" s="121">
        <f>IF($H$9="n/a","n/a",L9*(1-'Technical parameters PROD'!$C$21))</f>
        <v>122.86364012958239</v>
      </c>
      <c r="N9" s="121">
        <f>IF($H$9="n/a","n/a",M9*(1-'Technical parameters PROD'!$C$21))</f>
        <v>122.86364012958239</v>
      </c>
      <c r="O9" s="121">
        <f>IF($H$9="n/a","n/a",N9*(1-'Technical parameters PROD'!$C$21))</f>
        <v>122.86364012958239</v>
      </c>
      <c r="P9" s="121">
        <f>IF($H$9="n/a","n/a",O9*(1-'Technical parameters PROD'!$C$21))</f>
        <v>122.86364012958239</v>
      </c>
      <c r="Q9" s="121">
        <f>IF($H$9="n/a","n/a",P9*(1-'Technical parameters PROD'!$C$21))</f>
        <v>122.86364012958239</v>
      </c>
      <c r="R9" s="121">
        <f>IF($H$9="n/a","n/a",Q9*(1-'Technical parameters PROD'!$C$21))</f>
        <v>122.86364012958239</v>
      </c>
      <c r="S9" s="121">
        <f>IF($H$9="n/a","n/a",R9*(1-'Technical parameters PROD'!$C$21))</f>
        <v>122.86364012958239</v>
      </c>
      <c r="T9" s="121">
        <f>IF($H$9="n/a","n/a",S9*(1-'Technical parameters PROD'!$C$21))</f>
        <v>122.86364012958239</v>
      </c>
      <c r="U9" s="121">
        <f>IF($H$9="n/a","n/a",T9*(1-'Technical parameters PROD'!$C$21))</f>
        <v>122.86364012958239</v>
      </c>
      <c r="V9" s="121">
        <f>IF($H$9="n/a","n/a",U9*(1-'Technical parameters PROD'!$C$21))</f>
        <v>122.86364012958239</v>
      </c>
      <c r="W9" s="121">
        <f>IF($H$9="n/a","n/a",V9*(1-'Technical parameters PROD'!$C$21))</f>
        <v>122.86364012958239</v>
      </c>
      <c r="X9" s="121">
        <f>IF($H$9="n/a","n/a",W9*(1-'Technical parameters PROD'!$C$21))</f>
        <v>122.86364012958239</v>
      </c>
      <c r="Y9" s="121">
        <f>IF($H$9="n/a","n/a",X9*(1-'Technical parameters PROD'!$C$21))</f>
        <v>122.86364012958239</v>
      </c>
      <c r="Z9" s="121">
        <f>IF($H$9="n/a","n/a",Y9*(1-'Technical parameters PROD'!$C$21))</f>
        <v>122.86364012958239</v>
      </c>
      <c r="AA9" s="121">
        <f>IF($H$9="n/a","n/a",Z9*(1-'Technical parameters PROD'!$C$21))</f>
        <v>122.86364012958239</v>
      </c>
      <c r="AB9" s="121">
        <f>IF($H$9="n/a","n/a",AA9*(1-'Technical parameters PROD'!$C$21))</f>
        <v>122.86364012958239</v>
      </c>
      <c r="AC9" s="121">
        <f>IF($H$9="n/a","n/a",AB9*(1-'Technical parameters PROD'!$C$21))</f>
        <v>122.86364012958239</v>
      </c>
      <c r="AD9" s="121">
        <f>IF($H$9="n/a","n/a",AC9*(1-'Technical parameters PROD'!$C$21))</f>
        <v>122.86364012958239</v>
      </c>
      <c r="AE9" s="121">
        <f>IF($H$9="n/a","n/a",AD9*(1-'Technical parameters PROD'!$C$21))</f>
        <v>122.86364012958239</v>
      </c>
      <c r="AF9" s="121">
        <f>IF($H$9="n/a","n/a",AE9*(1-'Technical parameters PROD'!$C$21))</f>
        <v>122.86364012958239</v>
      </c>
      <c r="AG9" s="121">
        <f>IF($H$9="n/a","n/a",AF9*(1-'Technical parameters PROD'!$C$21))</f>
        <v>122.86364012958239</v>
      </c>
      <c r="AH9" s="121">
        <f>IF($H$9="n/a","n/a",AG9*(1-'Technical parameters PROD'!$C$21))</f>
        <v>122.86364012958239</v>
      </c>
      <c r="AI9" s="121">
        <f>IF($H$9="n/a","n/a",AH9*(1-'Technical parameters PROD'!$C$21))</f>
        <v>122.86364012958239</v>
      </c>
      <c r="AJ9" s="121">
        <f>IF($H$9="n/a","n/a",AI9*(1-'Technical parameters PROD'!$C$21))</f>
        <v>122.86364012958239</v>
      </c>
      <c r="AK9" s="121">
        <f>IF($H$9="n/a","n/a",AJ9*(1-'Technical parameters PROD'!$C$21))</f>
        <v>122.86364012958239</v>
      </c>
      <c r="AL9" s="121">
        <f>IF($H$9="n/a","n/a",AK9*(1-'Technical parameters PROD'!$C$21))</f>
        <v>122.86364012958239</v>
      </c>
      <c r="AM9" s="121">
        <f>IF($H$9="n/a","n/a",AL9*(1-'Technical parameters PROD'!$C$21))</f>
        <v>122.86364012958239</v>
      </c>
      <c r="AN9" s="121">
        <f>IF($H$9="n/a","n/a",AM9*(1-'Technical parameters PROD'!$C$21))</f>
        <v>122.86364012958239</v>
      </c>
      <c r="AO9" s="121">
        <f>IF($H$9="n/a","n/a",AN9*(1-'Technical parameters PROD'!$C$21))</f>
        <v>122.86364012958239</v>
      </c>
      <c r="AP9" s="121">
        <f>IF($H$9="n/a","n/a",AO9*(1-'Technical parameters PROD'!$C$21))</f>
        <v>122.86364012958239</v>
      </c>
      <c r="AQ9" s="121">
        <f>IF($H$9="n/a","n/a",AP9*(1-'Technical parameters PROD'!$C$21))</f>
        <v>122.86364012958239</v>
      </c>
      <c r="AR9" s="121">
        <f>IF($H$9="n/a","n/a",AQ9*(1-'Technical parameters PROD'!$C$21))</f>
        <v>122.86364012958239</v>
      </c>
      <c r="AS9" s="121">
        <f>IF($H$9="n/a","n/a",AR9*(1-'Technical parameters PROD'!$C$21))</f>
        <v>122.86364012958239</v>
      </c>
      <c r="AT9" s="121">
        <f>IF($H$9="n/a","n/a",AS9*(1-'Technical parameters PROD'!$C$21))</f>
        <v>122.86364012958239</v>
      </c>
      <c r="AU9" s="121">
        <f>IF($H$9="n/a","n/a",AT9*(1-'Technical parameters PROD'!$C$21))</f>
        <v>122.86364012958239</v>
      </c>
      <c r="AV9" s="121">
        <f>IF($H$9="n/a","n/a",AU9*(1-'Technical parameters PROD'!$C$21))</f>
        <v>122.86364012958239</v>
      </c>
      <c r="AW9" s="121">
        <f>IF($H$9="n/a","n/a",AV9*(1-'Technical parameters PROD'!$C$21))</f>
        <v>122.86364012958239</v>
      </c>
      <c r="AX9" s="121">
        <f>IF($H$9="n/a","n/a",AW9*(1-'Technical parameters PROD'!$C$21))</f>
        <v>122.86364012958239</v>
      </c>
      <c r="AY9" s="121">
        <f>IF($H$9="n/a","n/a",AX9*(1-'Technical parameters PROD'!$C$21))</f>
        <v>122.86364012958239</v>
      </c>
      <c r="AZ9" s="121">
        <f>IF($H$9="n/a","n/a",AY9*(1-'Technical parameters PROD'!$C$21))</f>
        <v>122.86364012958239</v>
      </c>
      <c r="BA9" s="121">
        <f>IF($H$9="n/a","n/a",AZ9*(1-'Technical parameters PROD'!$C$21))</f>
        <v>122.86364012958239</v>
      </c>
      <c r="BB9" s="121">
        <f>IF($H$9="n/a","n/a",BA9*(1-'Technical parameters PROD'!$C$21))</f>
        <v>122.86364012958239</v>
      </c>
      <c r="BC9" s="121">
        <f>IF($H$9="n/a","n/a",BB9*(1-'Technical parameters PROD'!$C$21))</f>
        <v>122.86364012958239</v>
      </c>
      <c r="BD9" s="121">
        <f>IF($H$9="n/a","n/a",BC9*(1-'Technical parameters PROD'!$C$21))</f>
        <v>122.86364012958239</v>
      </c>
      <c r="BE9" s="121">
        <f>IF($H$9="n/a","n/a",BD9*(1-'Technical parameters PROD'!$C$21))</f>
        <v>122.86364012958239</v>
      </c>
    </row>
    <row r="10" spans="3:57" ht="15.6" customHeight="1">
      <c r="C10" s="398"/>
      <c r="D10" s="73" t="s">
        <v>34</v>
      </c>
      <c r="E10" s="74"/>
      <c r="F10" s="74"/>
      <c r="G10" s="74"/>
      <c r="H10" s="122">
        <f>IF($H$9="n/a","n/a",'Technical parameters PROD'!$C$18*(1-('Technical parameters TEMP'!$C$12)/(H9+273.15)))</f>
        <v>0.15001377743410849</v>
      </c>
      <c r="I10" s="122">
        <f>IF($H$9="n/a","n/a",'Technical parameters PROD'!$C$18*(1-('Technical parameters TEMP'!$C$12)/(I9+273.15)))</f>
        <v>0.15001377743410849</v>
      </c>
      <c r="J10" s="122">
        <f>IF($H$9="n/a","n/a",'Technical parameters PROD'!$C$18*(1-('Technical parameters TEMP'!$C$12)/(J9+273.15)))</f>
        <v>0.15001377743410849</v>
      </c>
      <c r="K10" s="122">
        <f>IF($H$9="n/a","n/a",'Technical parameters PROD'!$C$18*(1-('Technical parameters TEMP'!$C$12)/(K9+273.15)))</f>
        <v>0.15001377743410849</v>
      </c>
      <c r="L10" s="122">
        <f>IF($H$9="n/a","n/a",'Technical parameters PROD'!$C$18*(1-('Technical parameters TEMP'!$C$12)/(L9+273.15)))</f>
        <v>0.15001377743410849</v>
      </c>
      <c r="M10" s="122">
        <f>IF($H$9="n/a","n/a",'Technical parameters PROD'!$C$18*(1-('Technical parameters TEMP'!$C$12)/(M9+273.15)))</f>
        <v>0.15001377743410849</v>
      </c>
      <c r="N10" s="122">
        <f>IF($H$9="n/a","n/a",'Technical parameters PROD'!$C$18*(1-('Technical parameters TEMP'!$C$12)/(N9+273.15)))</f>
        <v>0.15001377743410849</v>
      </c>
      <c r="O10" s="122">
        <f>IF($H$9="n/a","n/a",'Technical parameters PROD'!$C$18*(1-('Technical parameters TEMP'!$C$12)/(O9+273.15)))</f>
        <v>0.15001377743410849</v>
      </c>
      <c r="P10" s="122">
        <f>IF($H$9="n/a","n/a",'Technical parameters PROD'!$C$18*(1-('Technical parameters TEMP'!$C$12)/(P9+273.15)))</f>
        <v>0.15001377743410849</v>
      </c>
      <c r="Q10" s="122">
        <f>IF($H$9="n/a","n/a",'Technical parameters PROD'!$C$18*(1-('Technical parameters TEMP'!$C$12)/(Q9+273.15)))</f>
        <v>0.15001377743410849</v>
      </c>
      <c r="R10" s="122">
        <f>IF($H$9="n/a","n/a",'Technical parameters PROD'!$C$18*(1-('Technical parameters TEMP'!$C$12)/(R9+273.15)))</f>
        <v>0.15001377743410849</v>
      </c>
      <c r="S10" s="122">
        <f>IF($H$9="n/a","n/a",'Technical parameters PROD'!$C$18*(1-('Technical parameters TEMP'!$C$12)/(S9+273.15)))</f>
        <v>0.15001377743410849</v>
      </c>
      <c r="T10" s="122">
        <f>IF($H$9="n/a","n/a",'Technical parameters PROD'!$C$18*(1-('Technical parameters TEMP'!$C$12)/(T9+273.15)))</f>
        <v>0.15001377743410849</v>
      </c>
      <c r="U10" s="122">
        <f>IF($H$9="n/a","n/a",'Technical parameters PROD'!$C$18*(1-('Technical parameters TEMP'!$C$12)/(U9+273.15)))</f>
        <v>0.15001377743410849</v>
      </c>
      <c r="V10" s="122">
        <f>IF($H$9="n/a","n/a",'Technical parameters PROD'!$C$18*(1-('Technical parameters TEMP'!$C$12)/(V9+273.15)))</f>
        <v>0.15001377743410849</v>
      </c>
      <c r="W10" s="122">
        <f>IF($H$9="n/a","n/a",'Technical parameters PROD'!$C$18*(1-('Technical parameters TEMP'!$C$12)/(W9+273.15)))</f>
        <v>0.15001377743410849</v>
      </c>
      <c r="X10" s="122">
        <f>IF($H$9="n/a","n/a",'Technical parameters PROD'!$C$18*(1-('Technical parameters TEMP'!$C$12)/(X9+273.15)))</f>
        <v>0.15001377743410849</v>
      </c>
      <c r="Y10" s="122">
        <f>IF($H$9="n/a","n/a",'Technical parameters PROD'!$C$18*(1-('Technical parameters TEMP'!$C$12)/(Y9+273.15)))</f>
        <v>0.15001377743410849</v>
      </c>
      <c r="Z10" s="122">
        <f>IF($H$9="n/a","n/a",'Technical parameters PROD'!$C$18*(1-('Technical parameters TEMP'!$C$12)/(Z9+273.15)))</f>
        <v>0.15001377743410849</v>
      </c>
      <c r="AA10" s="122">
        <f>IF($H$9="n/a","n/a",'Technical parameters PROD'!$C$18*(1-('Technical parameters TEMP'!$C$12)/(AA9+273.15)))</f>
        <v>0.15001377743410849</v>
      </c>
      <c r="AB10" s="122">
        <f>IF($H$9="n/a","n/a",'Technical parameters PROD'!$C$18*(1-('Technical parameters TEMP'!$C$12)/(AB9+273.15)))</f>
        <v>0.15001377743410849</v>
      </c>
      <c r="AC10" s="122">
        <f>IF($H$9="n/a","n/a",'Technical parameters PROD'!$C$18*(1-('Technical parameters TEMP'!$C$12)/(AC9+273.15)))</f>
        <v>0.15001377743410849</v>
      </c>
      <c r="AD10" s="122">
        <f>IF($H$9="n/a","n/a",'Technical parameters PROD'!$C$18*(1-('Technical parameters TEMP'!$C$12)/(AD9+273.15)))</f>
        <v>0.15001377743410849</v>
      </c>
      <c r="AE10" s="122">
        <f>IF($H$9="n/a","n/a",'Technical parameters PROD'!$C$18*(1-('Technical parameters TEMP'!$C$12)/(AE9+273.15)))</f>
        <v>0.15001377743410849</v>
      </c>
      <c r="AF10" s="122">
        <f>IF($H$9="n/a","n/a",'Technical parameters PROD'!$C$18*(1-('Technical parameters TEMP'!$C$12)/(AF9+273.15)))</f>
        <v>0.15001377743410849</v>
      </c>
      <c r="AG10" s="122">
        <f>IF($H$9="n/a","n/a",'Technical parameters PROD'!$C$18*(1-('Technical parameters TEMP'!$C$12)/(AG9+273.15)))</f>
        <v>0.15001377743410849</v>
      </c>
      <c r="AH10" s="122">
        <f>IF($H$9="n/a","n/a",'Technical parameters PROD'!$C$18*(1-('Technical parameters TEMP'!$C$12)/(AH9+273.15)))</f>
        <v>0.15001377743410849</v>
      </c>
      <c r="AI10" s="122">
        <f>IF($H$9="n/a","n/a",'Technical parameters PROD'!$C$18*(1-('Technical parameters TEMP'!$C$12)/(AI9+273.15)))</f>
        <v>0.15001377743410849</v>
      </c>
      <c r="AJ10" s="122">
        <f>IF($H$9="n/a","n/a",'Technical parameters PROD'!$C$18*(1-('Technical parameters TEMP'!$C$12)/(AJ9+273.15)))</f>
        <v>0.15001377743410849</v>
      </c>
      <c r="AK10" s="122">
        <f>IF($H$9="n/a","n/a",'Technical parameters PROD'!$C$18*(1-('Technical parameters TEMP'!$C$12)/(AK9+273.15)))</f>
        <v>0.15001377743410849</v>
      </c>
      <c r="AL10" s="122">
        <f>IF($H$9="n/a","n/a",'Technical parameters PROD'!$C$18*(1-('Technical parameters TEMP'!$C$12)/(AL9+273.15)))</f>
        <v>0.15001377743410849</v>
      </c>
      <c r="AM10" s="122">
        <f>IF($H$9="n/a","n/a",'Technical parameters PROD'!$C$18*(1-('Technical parameters TEMP'!$C$12)/(AM9+273.15)))</f>
        <v>0.15001377743410849</v>
      </c>
      <c r="AN10" s="122">
        <f>IF($H$9="n/a","n/a",'Technical parameters PROD'!$C$18*(1-('Technical parameters TEMP'!$C$12)/(AN9+273.15)))</f>
        <v>0.15001377743410849</v>
      </c>
      <c r="AO10" s="122">
        <f>IF($H$9="n/a","n/a",'Technical parameters PROD'!$C$18*(1-('Technical parameters TEMP'!$C$12)/(AO9+273.15)))</f>
        <v>0.15001377743410849</v>
      </c>
      <c r="AP10" s="122">
        <f>IF($H$9="n/a","n/a",'Technical parameters PROD'!$C$18*(1-('Technical parameters TEMP'!$C$12)/(AP9+273.15)))</f>
        <v>0.15001377743410849</v>
      </c>
      <c r="AQ10" s="122">
        <f>IF($H$9="n/a","n/a",'Technical parameters PROD'!$C$18*(1-('Technical parameters TEMP'!$C$12)/(AQ9+273.15)))</f>
        <v>0.15001377743410849</v>
      </c>
      <c r="AR10" s="122">
        <f>IF($H$9="n/a","n/a",'Technical parameters PROD'!$C$18*(1-('Technical parameters TEMP'!$C$12)/(AR9+273.15)))</f>
        <v>0.15001377743410849</v>
      </c>
      <c r="AS10" s="122">
        <f>IF($H$9="n/a","n/a",'Technical parameters PROD'!$C$18*(1-('Technical parameters TEMP'!$C$12)/(AS9+273.15)))</f>
        <v>0.15001377743410849</v>
      </c>
      <c r="AT10" s="122">
        <f>IF($H$9="n/a","n/a",'Technical parameters PROD'!$C$18*(1-('Technical parameters TEMP'!$C$12)/(AT9+273.15)))</f>
        <v>0.15001377743410849</v>
      </c>
      <c r="AU10" s="122">
        <f>IF($H$9="n/a","n/a",'Technical parameters PROD'!$C$18*(1-('Technical parameters TEMP'!$C$12)/(AU9+273.15)))</f>
        <v>0.15001377743410849</v>
      </c>
      <c r="AV10" s="122">
        <f>IF($H$9="n/a","n/a",'Technical parameters PROD'!$C$18*(1-('Technical parameters TEMP'!$C$12)/(AV9+273.15)))</f>
        <v>0.15001377743410849</v>
      </c>
      <c r="AW10" s="122">
        <f>IF($H$9="n/a","n/a",'Technical parameters PROD'!$C$18*(1-('Technical parameters TEMP'!$C$12)/(AW9+273.15)))</f>
        <v>0.15001377743410849</v>
      </c>
      <c r="AX10" s="122">
        <f>IF($H$9="n/a","n/a",'Technical parameters PROD'!$C$18*(1-('Technical parameters TEMP'!$C$12)/(AX9+273.15)))</f>
        <v>0.15001377743410849</v>
      </c>
      <c r="AY10" s="122">
        <f>IF($H$9="n/a","n/a",'Technical parameters PROD'!$C$18*(1-('Technical parameters TEMP'!$C$12)/(AY9+273.15)))</f>
        <v>0.15001377743410849</v>
      </c>
      <c r="AZ10" s="122">
        <f>IF($H$9="n/a","n/a",'Technical parameters PROD'!$C$18*(1-('Technical parameters TEMP'!$C$12)/(AZ9+273.15)))</f>
        <v>0.15001377743410849</v>
      </c>
      <c r="BA10" s="122">
        <f>IF($H$9="n/a","n/a",'Technical parameters PROD'!$C$18*(1-('Technical parameters TEMP'!$C$12)/(BA9+273.15)))</f>
        <v>0.15001377743410849</v>
      </c>
      <c r="BB10" s="122">
        <f>IF($H$9="n/a","n/a",'Technical parameters PROD'!$C$18*(1-('Technical parameters TEMP'!$C$12)/(BB9+273.15)))</f>
        <v>0.15001377743410849</v>
      </c>
      <c r="BC10" s="122">
        <f>IF($H$9="n/a","n/a",'Technical parameters PROD'!$C$18*(1-('Technical parameters TEMP'!$C$12)/(BC9+273.15)))</f>
        <v>0.15001377743410849</v>
      </c>
      <c r="BD10" s="122">
        <f>IF($H$9="n/a","n/a",'Technical parameters PROD'!$C$18*(1-('Technical parameters TEMP'!$C$12)/(BD9+273.15)))</f>
        <v>0.15001377743410849</v>
      </c>
      <c r="BE10" s="122">
        <f>IF($H$9="n/a","n/a",'Technical parameters PROD'!$C$18*(1-('Technical parameters TEMP'!$C$12)/(BE9+273.15)))</f>
        <v>0.15001377743410849</v>
      </c>
    </row>
    <row r="11" spans="3:57" ht="15.6" customHeight="1">
      <c r="C11" s="398"/>
      <c r="D11" s="73" t="s">
        <v>240</v>
      </c>
      <c r="E11" s="75"/>
      <c r="F11" s="75"/>
      <c r="G11" s="75"/>
      <c r="H11" s="76">
        <f>IF($H$9="n/a","n/a",H10*(IF('Technical parameters PROD'!$C$9&gt;1,'Technical parameters PROD'!$C$9,1)*'Technical parameters PROD'!$C$11)*'Technical parameters TEMP'!$C$16*(H9-'Technical parameters PROD'!$C$17)/10^6)</f>
        <v>1.1314347236989393</v>
      </c>
      <c r="I11" s="76">
        <f>IF($H$9="n/a","n/a",I10*(IF('Technical parameters PROD'!$C$9&gt;1,'Technical parameters PROD'!$C$9,1)*'Technical parameters PROD'!$C$11)*'Technical parameters TEMP'!$C$16*(I9-'Technical parameters PROD'!$C$17)/10^6)</f>
        <v>1.1314347236989393</v>
      </c>
      <c r="J11" s="76">
        <f>IF($H$9="n/a","n/a",J10*(IF('Technical parameters PROD'!$C$9&gt;1,'Technical parameters PROD'!$C$9,1)*'Technical parameters PROD'!$C$11)*'Technical parameters TEMP'!$C$16*(J9-'Technical parameters PROD'!$C$17)/10^6)</f>
        <v>1.1314347236989393</v>
      </c>
      <c r="K11" s="76">
        <f>IF($H$9="n/a","n/a",K10*(IF('Technical parameters PROD'!$C$9&gt;1,'Technical parameters PROD'!$C$9,1)*'Technical parameters PROD'!$C$11)*'Technical parameters TEMP'!$C$16*(K9-'Technical parameters PROD'!$C$17)/10^6)</f>
        <v>1.1314347236989393</v>
      </c>
      <c r="L11" s="76">
        <f>IF($H$9="n/a","n/a",L10*(IF('Technical parameters PROD'!$C$9&gt;1,'Technical parameters PROD'!$C$9,1)*'Technical parameters PROD'!$C$11)*'Technical parameters TEMP'!$C$16*(L9-'Technical parameters PROD'!$C$17)/10^6)</f>
        <v>1.1314347236989393</v>
      </c>
      <c r="M11" s="76">
        <f>IF($H$9="n/a","n/a",M10*(IF('Technical parameters PROD'!$C$9&gt;1,'Technical parameters PROD'!$C$9,1)*'Technical parameters PROD'!$C$11)*'Technical parameters TEMP'!$C$16*(M9-'Technical parameters PROD'!$C$17)/10^6)</f>
        <v>1.1314347236989393</v>
      </c>
      <c r="N11" s="76">
        <f>IF($H$9="n/a","n/a",N10*(IF('Technical parameters PROD'!$C$9&gt;1,'Technical parameters PROD'!$C$9,1)*'Technical parameters PROD'!$C$11)*'Technical parameters TEMP'!$C$16*(N9-'Technical parameters PROD'!$C$17)/10^6)</f>
        <v>1.1314347236989393</v>
      </c>
      <c r="O11" s="76">
        <f>IF($H$9="n/a","n/a",O10*(IF('Technical parameters PROD'!$C$9&gt;1,'Technical parameters PROD'!$C$9,1)*'Technical parameters PROD'!$C$11)*'Technical parameters TEMP'!$C$16*(O9-'Technical parameters PROD'!$C$17)/10^6)</f>
        <v>1.1314347236989393</v>
      </c>
      <c r="P11" s="76">
        <f>IF($H$9="n/a","n/a",P10*(IF('Technical parameters PROD'!$C$9&gt;1,'Technical parameters PROD'!$C$9,1)*'Technical parameters PROD'!$C$11)*'Technical parameters TEMP'!$C$16*(P9-'Technical parameters PROD'!$C$17)/10^6)</f>
        <v>1.1314347236989393</v>
      </c>
      <c r="Q11" s="76">
        <f>IF($H$9="n/a","n/a",Q10*(IF('Technical parameters PROD'!$C$9&gt;1,'Technical parameters PROD'!$C$9,1)*'Technical parameters PROD'!$C$11)*'Technical parameters TEMP'!$C$16*(Q9-'Technical parameters PROD'!$C$17)/10^6)</f>
        <v>1.1314347236989393</v>
      </c>
      <c r="R11" s="76">
        <f>IF($H$9="n/a","n/a",R10*(IF('Technical parameters PROD'!$C$9&gt;1,'Technical parameters PROD'!$C$9,1)*'Technical parameters PROD'!$C$11)*'Technical parameters TEMP'!$C$16*(R9-'Technical parameters PROD'!$C$17)/10^6)</f>
        <v>1.1314347236989393</v>
      </c>
      <c r="S11" s="76">
        <f>IF($H$9="n/a","n/a",S10*(IF('Technical parameters PROD'!$C$9&gt;1,'Technical parameters PROD'!$C$9,1)*'Technical parameters PROD'!$C$11)*'Technical parameters TEMP'!$C$16*(S9-'Technical parameters PROD'!$C$17)/10^6)</f>
        <v>1.1314347236989393</v>
      </c>
      <c r="T11" s="76">
        <f>IF($H$9="n/a","n/a",T10*(IF('Technical parameters PROD'!$C$9&gt;1,'Technical parameters PROD'!$C$9,1)*'Technical parameters PROD'!$C$11)*'Technical parameters TEMP'!$C$16*(T9-'Technical parameters PROD'!$C$17)/10^6)</f>
        <v>1.1314347236989393</v>
      </c>
      <c r="U11" s="76">
        <f>IF($H$9="n/a","n/a",U10*(IF('Technical parameters PROD'!$C$9&gt;1,'Technical parameters PROD'!$C$9,1)*'Technical parameters PROD'!$C$11)*'Technical parameters TEMP'!$C$16*(U9-'Technical parameters PROD'!$C$17)/10^6)</f>
        <v>1.1314347236989393</v>
      </c>
      <c r="V11" s="76">
        <f>IF($H$9="n/a","n/a",V10*(IF('Technical parameters PROD'!$C$9&gt;1,'Technical parameters PROD'!$C$9,1)*'Technical parameters PROD'!$C$11)*'Technical parameters TEMP'!$C$16*(V9-'Technical parameters PROD'!$C$17)/10^6)</f>
        <v>1.1314347236989393</v>
      </c>
      <c r="W11" s="76">
        <f>IF($H$9="n/a","n/a",W10*(IF('Technical parameters PROD'!$C$9&gt;1,'Technical parameters PROD'!$C$9,1)*'Technical parameters PROD'!$C$11)*'Technical parameters TEMP'!$C$16*(W9-'Technical parameters PROD'!$C$17)/10^6)</f>
        <v>1.1314347236989393</v>
      </c>
      <c r="X11" s="76">
        <f>IF($H$9="n/a","n/a",X10*(IF('Technical parameters PROD'!$C$9&gt;1,'Technical parameters PROD'!$C$9,1)*'Technical parameters PROD'!$C$11)*'Technical parameters TEMP'!$C$16*(X9-'Technical parameters PROD'!$C$17)/10^6)</f>
        <v>1.1314347236989393</v>
      </c>
      <c r="Y11" s="76">
        <f>IF($H$9="n/a","n/a",Y10*(IF('Technical parameters PROD'!$C$9&gt;1,'Technical parameters PROD'!$C$9,1)*'Technical parameters PROD'!$C$11)*'Technical parameters TEMP'!$C$16*(Y9-'Technical parameters PROD'!$C$17)/10^6)</f>
        <v>1.1314347236989393</v>
      </c>
      <c r="Z11" s="76">
        <f>IF($H$9="n/a","n/a",Z10*(IF('Technical parameters PROD'!$C$9&gt;1,'Technical parameters PROD'!$C$9,1)*'Technical parameters PROD'!$C$11)*'Technical parameters TEMP'!$C$16*(Z9-'Technical parameters PROD'!$C$17)/10^6)</f>
        <v>1.1314347236989393</v>
      </c>
      <c r="AA11" s="76">
        <f>IF($H$9="n/a","n/a",AA10*(IF('Technical parameters PROD'!$C$9&gt;1,'Technical parameters PROD'!$C$9,1)*'Technical parameters PROD'!$C$11)*'Technical parameters TEMP'!$C$16*(AA9-'Technical parameters PROD'!$C$17)/10^6)</f>
        <v>1.1314347236989393</v>
      </c>
      <c r="AB11" s="76">
        <f>IF($H$9="n/a","n/a",AB10*(IF('Technical parameters PROD'!$C$9&gt;1,'Technical parameters PROD'!$C$9,1)*'Technical parameters PROD'!$C$11)*'Technical parameters TEMP'!$C$16*(AB9-'Technical parameters PROD'!$C$17)/10^6)</f>
        <v>1.1314347236989393</v>
      </c>
      <c r="AC11" s="76">
        <f>IF($H$9="n/a","n/a",AC10*(IF('Technical parameters PROD'!$C$9&gt;1,'Technical parameters PROD'!$C$9,1)*'Technical parameters PROD'!$C$11)*'Technical parameters TEMP'!$C$16*(AC9-'Technical parameters PROD'!$C$17)/10^6)</f>
        <v>1.1314347236989393</v>
      </c>
      <c r="AD11" s="76">
        <f>IF($H$9="n/a","n/a",AD10*(IF('Technical parameters PROD'!$C$9&gt;1,'Technical parameters PROD'!$C$9,1)*'Technical parameters PROD'!$C$11)*'Technical parameters TEMP'!$C$16*(AD9-'Technical parameters PROD'!$C$17)/10^6)</f>
        <v>1.1314347236989393</v>
      </c>
      <c r="AE11" s="76">
        <f>IF($H$9="n/a","n/a",AE10*(IF('Technical parameters PROD'!$C$9&gt;1,'Technical parameters PROD'!$C$9,1)*'Technical parameters PROD'!$C$11)*'Technical parameters TEMP'!$C$16*(AE9-'Technical parameters PROD'!$C$17)/10^6)</f>
        <v>1.1314347236989393</v>
      </c>
      <c r="AF11" s="76">
        <f>IF($H$9="n/a","n/a",AF10*(IF('Technical parameters PROD'!$C$9&gt;1,'Technical parameters PROD'!$C$9,1)*'Technical parameters PROD'!$C$11)*'Technical parameters TEMP'!$C$16*(AF9-'Technical parameters PROD'!$C$17)/10^6)</f>
        <v>1.1314347236989393</v>
      </c>
      <c r="AG11" s="76">
        <f>IF($H$9="n/a","n/a",AG10*(IF('Technical parameters PROD'!$C$9&gt;1,'Technical parameters PROD'!$C$9,1)*'Technical parameters PROD'!$C$11)*'Technical parameters TEMP'!$C$16*(AG9-'Technical parameters PROD'!$C$17)/10^6)</f>
        <v>1.1314347236989393</v>
      </c>
      <c r="AH11" s="76">
        <f>IF($H$9="n/a","n/a",AH10*(IF('Technical parameters PROD'!$C$9&gt;1,'Technical parameters PROD'!$C$9,1)*'Technical parameters PROD'!$C$11)*'Technical parameters TEMP'!$C$16*(AH9-'Technical parameters PROD'!$C$17)/10^6)</f>
        <v>1.1314347236989393</v>
      </c>
      <c r="AI11" s="76">
        <f>IF($H$9="n/a","n/a",AI10*(IF('Technical parameters PROD'!$C$9&gt;1,'Technical parameters PROD'!$C$9,1)*'Technical parameters PROD'!$C$11)*'Technical parameters TEMP'!$C$16*(AI9-'Technical parameters PROD'!$C$17)/10^6)</f>
        <v>1.1314347236989393</v>
      </c>
      <c r="AJ11" s="76">
        <f>IF($H$9="n/a","n/a",AJ10*(IF('Technical parameters PROD'!$C$9&gt;1,'Technical parameters PROD'!$C$9,1)*'Technical parameters PROD'!$C$11)*'Technical parameters TEMP'!$C$16*(AJ9-'Technical parameters PROD'!$C$17)/10^6)</f>
        <v>1.1314347236989393</v>
      </c>
      <c r="AK11" s="76">
        <f>IF($H$9="n/a","n/a",AK10*(IF('Technical parameters PROD'!$C$9&gt;1,'Technical parameters PROD'!$C$9,1)*'Technical parameters PROD'!$C$11)*'Technical parameters TEMP'!$C$16*(AK9-'Technical parameters PROD'!$C$17)/10^6)</f>
        <v>1.1314347236989393</v>
      </c>
      <c r="AL11" s="76">
        <f>IF($H$9="n/a","n/a",AL10*(IF('Technical parameters PROD'!$C$9&gt;1,'Technical parameters PROD'!$C$9,1)*'Technical parameters PROD'!$C$11)*'Technical parameters TEMP'!$C$16*(AL9-'Technical parameters PROD'!$C$17)/10^6)</f>
        <v>1.1314347236989393</v>
      </c>
      <c r="AM11" s="76">
        <f>IF($H$9="n/a","n/a",AM10*(IF('Technical parameters PROD'!$C$9&gt;1,'Technical parameters PROD'!$C$9,1)*'Technical parameters PROD'!$C$11)*'Technical parameters TEMP'!$C$16*(AM9-'Technical parameters PROD'!$C$17)/10^6)</f>
        <v>1.1314347236989393</v>
      </c>
      <c r="AN11" s="76">
        <f>IF($H$9="n/a","n/a",AN10*(IF('Technical parameters PROD'!$C$9&gt;1,'Technical parameters PROD'!$C$9,1)*'Technical parameters PROD'!$C$11)*'Technical parameters TEMP'!$C$16*(AN9-'Technical parameters PROD'!$C$17)/10^6)</f>
        <v>1.1314347236989393</v>
      </c>
      <c r="AO11" s="76">
        <f>IF($H$9="n/a","n/a",AO10*(IF('Technical parameters PROD'!$C$9&gt;1,'Technical parameters PROD'!$C$9,1)*'Technical parameters PROD'!$C$11)*'Technical parameters TEMP'!$C$16*(AO9-'Technical parameters PROD'!$C$17)/10^6)</f>
        <v>1.1314347236989393</v>
      </c>
      <c r="AP11" s="76">
        <f>IF($H$9="n/a","n/a",AP10*(IF('Technical parameters PROD'!$C$9&gt;1,'Technical parameters PROD'!$C$9,1)*'Technical parameters PROD'!$C$11)*'Technical parameters TEMP'!$C$16*(AP9-'Technical parameters PROD'!$C$17)/10^6)</f>
        <v>1.1314347236989393</v>
      </c>
      <c r="AQ11" s="76">
        <f>IF($H$9="n/a","n/a",AQ10*(IF('Technical parameters PROD'!$C$9&gt;1,'Technical parameters PROD'!$C$9,1)*'Technical parameters PROD'!$C$11)*'Technical parameters TEMP'!$C$16*(AQ9-'Technical parameters PROD'!$C$17)/10^6)</f>
        <v>1.1314347236989393</v>
      </c>
      <c r="AR11" s="76">
        <f>IF($H$9="n/a","n/a",AR10*(IF('Technical parameters PROD'!$C$9&gt;1,'Technical parameters PROD'!$C$9,1)*'Technical parameters PROD'!$C$11)*'Technical parameters TEMP'!$C$16*(AR9-'Technical parameters PROD'!$C$17)/10^6)</f>
        <v>1.1314347236989393</v>
      </c>
      <c r="AS11" s="76">
        <f>IF($H$9="n/a","n/a",AS10*(IF('Technical parameters PROD'!$C$9&gt;1,'Technical parameters PROD'!$C$9,1)*'Technical parameters PROD'!$C$11)*'Technical parameters TEMP'!$C$16*(AS9-'Technical parameters PROD'!$C$17)/10^6)</f>
        <v>1.1314347236989393</v>
      </c>
      <c r="AT11" s="76">
        <f>IF($H$9="n/a","n/a",AT10*(IF('Technical parameters PROD'!$C$9&gt;1,'Technical parameters PROD'!$C$9,1)*'Technical parameters PROD'!$C$11)*'Technical parameters TEMP'!$C$16*(AT9-'Technical parameters PROD'!$C$17)/10^6)</f>
        <v>1.1314347236989393</v>
      </c>
      <c r="AU11" s="76">
        <f>IF($H$9="n/a","n/a",AU10*(IF('Technical parameters PROD'!$C$9&gt;1,'Technical parameters PROD'!$C$9,1)*'Technical parameters PROD'!$C$11)*'Technical parameters TEMP'!$C$16*(AU9-'Technical parameters PROD'!$C$17)/10^6)</f>
        <v>1.1314347236989393</v>
      </c>
      <c r="AV11" s="76">
        <f>IF($H$9="n/a","n/a",AV10*(IF('Technical parameters PROD'!$C$9&gt;1,'Technical parameters PROD'!$C$9,1)*'Technical parameters PROD'!$C$11)*'Technical parameters TEMP'!$C$16*(AV9-'Technical parameters PROD'!$C$17)/10^6)</f>
        <v>1.1314347236989393</v>
      </c>
      <c r="AW11" s="76">
        <f>IF($H$9="n/a","n/a",AW10*(IF('Technical parameters PROD'!$C$9&gt;1,'Technical parameters PROD'!$C$9,1)*'Technical parameters PROD'!$C$11)*'Technical parameters TEMP'!$C$16*(AW9-'Technical parameters PROD'!$C$17)/10^6)</f>
        <v>1.1314347236989393</v>
      </c>
      <c r="AX11" s="76">
        <f>IF($H$9="n/a","n/a",AX10*(IF('Technical parameters PROD'!$C$9&gt;1,'Technical parameters PROD'!$C$9,1)*'Technical parameters PROD'!$C$11)*'Technical parameters TEMP'!$C$16*(AX9-'Technical parameters PROD'!$C$17)/10^6)</f>
        <v>1.1314347236989393</v>
      </c>
      <c r="AY11" s="76">
        <f>IF($H$9="n/a","n/a",AY10*(IF('Technical parameters PROD'!$C$9&gt;1,'Technical parameters PROD'!$C$9,1)*'Technical parameters PROD'!$C$11)*'Technical parameters TEMP'!$C$16*(AY9-'Technical parameters PROD'!$C$17)/10^6)</f>
        <v>1.1314347236989393</v>
      </c>
      <c r="AZ11" s="76">
        <f>IF($H$9="n/a","n/a",AZ10*(IF('Technical parameters PROD'!$C$9&gt;1,'Technical parameters PROD'!$C$9,1)*'Technical parameters PROD'!$C$11)*'Technical parameters TEMP'!$C$16*(AZ9-'Technical parameters PROD'!$C$17)/10^6)</f>
        <v>1.1314347236989393</v>
      </c>
      <c r="BA11" s="76">
        <f>IF($H$9="n/a","n/a",BA10*(IF('Technical parameters PROD'!$C$9&gt;1,'Technical parameters PROD'!$C$9,1)*'Technical parameters PROD'!$C$11)*'Technical parameters TEMP'!$C$16*(BA9-'Technical parameters PROD'!$C$17)/10^6)</f>
        <v>1.1314347236989393</v>
      </c>
      <c r="BB11" s="76">
        <f>IF($H$9="n/a","n/a",BB10*(IF('Technical parameters PROD'!$C$9&gt;1,'Technical parameters PROD'!$C$9,1)*'Technical parameters PROD'!$C$11)*'Technical parameters TEMP'!$C$16*(BB9-'Technical parameters PROD'!$C$17)/10^6)</f>
        <v>1.1314347236989393</v>
      </c>
      <c r="BC11" s="76">
        <f>IF($H$9="n/a","n/a",BC10*(IF('Technical parameters PROD'!$C$9&gt;1,'Technical parameters PROD'!$C$9,1)*'Technical parameters PROD'!$C$11)*'Technical parameters TEMP'!$C$16*(BC9-'Technical parameters PROD'!$C$17)/10^6)</f>
        <v>1.1314347236989393</v>
      </c>
      <c r="BD11" s="76">
        <f>IF($H$9="n/a","n/a",BD10*(IF('Technical parameters PROD'!$C$9&gt;1,'Technical parameters PROD'!$C$9,1)*'Technical parameters PROD'!$C$11)*'Technical parameters TEMP'!$C$16*(BD9-'Technical parameters PROD'!$C$17)/10^6)</f>
        <v>1.1314347236989393</v>
      </c>
      <c r="BE11" s="76">
        <f>IF($H$9="n/a","n/a",BE10*(IF('Technical parameters PROD'!$C$9&gt;1,'Technical parameters PROD'!$C$9,1)*'Technical parameters PROD'!$C$11)*'Technical parameters TEMP'!$C$16*(BE9-'Technical parameters PROD'!$C$17)/10^6)</f>
        <v>1.1314347236989393</v>
      </c>
    </row>
    <row r="12" spans="3:57" ht="15.6" customHeight="1">
      <c r="C12" s="398"/>
      <c r="D12" s="79" t="s">
        <v>141</v>
      </c>
      <c r="E12" s="80"/>
      <c r="F12" s="80"/>
      <c r="G12" s="80"/>
      <c r="H12" s="135">
        <f>IF('Technical parameters TEMP'!$C$28&lt;'Technical parameters TEMP'!C12,"n/a",MIN('Technical parameters TEMP'!C28-273.15,90))</f>
        <v>90</v>
      </c>
      <c r="I12" s="135">
        <f>IF(H12="n/a","n/a",H12*(1-'Technical parameters PROD'!$C$27))</f>
        <v>90</v>
      </c>
      <c r="J12" s="135">
        <f>IF(I12="n/a","n/a",I12*(1-'Technical parameters PROD'!$C$27))</f>
        <v>90</v>
      </c>
      <c r="K12" s="135">
        <f>IF(J12="n/a","n/a",J12*(1-'Technical parameters PROD'!$C$27))</f>
        <v>90</v>
      </c>
      <c r="L12" s="135">
        <f>IF(K12="n/a","n/a",K12*(1-'Technical parameters PROD'!$C$27))</f>
        <v>90</v>
      </c>
      <c r="M12" s="135">
        <f>IF(L12="n/a","n/a",L12*(1-'Technical parameters PROD'!$C$27))</f>
        <v>90</v>
      </c>
      <c r="N12" s="135">
        <f>IF(M12="n/a","n/a",M12*(1-'Technical parameters PROD'!$C$27))</f>
        <v>90</v>
      </c>
      <c r="O12" s="135">
        <f>IF(N12="n/a","n/a",N12*(1-'Technical parameters PROD'!$C$27))</f>
        <v>90</v>
      </c>
      <c r="P12" s="135">
        <f>IF(O12="n/a","n/a",O12*(1-'Technical parameters PROD'!$C$27))</f>
        <v>90</v>
      </c>
      <c r="Q12" s="135">
        <f>IF(P12="n/a","n/a",P12*(1-'Technical parameters PROD'!$C$27))</f>
        <v>90</v>
      </c>
      <c r="R12" s="135">
        <f>IF(Q12="n/a","n/a",Q12*(1-'Technical parameters PROD'!$C$27))</f>
        <v>90</v>
      </c>
      <c r="S12" s="135">
        <f>IF(R12="n/a","n/a",R12*(1-'Technical parameters PROD'!$C$27))</f>
        <v>90</v>
      </c>
      <c r="T12" s="135">
        <f>IF(S12="n/a","n/a",S12*(1-'Technical parameters PROD'!$C$27))</f>
        <v>90</v>
      </c>
      <c r="U12" s="135">
        <f>IF(T12="n/a","n/a",T12*(1-'Technical parameters PROD'!$C$27))</f>
        <v>90</v>
      </c>
      <c r="V12" s="135">
        <f>IF(U12="n/a","n/a",U12*(1-'Technical parameters PROD'!$C$27))</f>
        <v>90</v>
      </c>
      <c r="W12" s="135">
        <f>IF(V12="n/a","n/a",V12*(1-'Technical parameters PROD'!$C$27))</f>
        <v>90</v>
      </c>
      <c r="X12" s="135">
        <f>IF(W12="n/a","n/a",W12*(1-'Technical parameters PROD'!$C$27))</f>
        <v>90</v>
      </c>
      <c r="Y12" s="135">
        <f>IF(X12="n/a","n/a",X12*(1-'Technical parameters PROD'!$C$27))</f>
        <v>90</v>
      </c>
      <c r="Z12" s="135">
        <f>IF(Y12="n/a","n/a",Y12*(1-'Technical parameters PROD'!$C$27))</f>
        <v>90</v>
      </c>
      <c r="AA12" s="135">
        <f>IF(Z12="n/a","n/a",Z12*(1-'Technical parameters PROD'!$C$27))</f>
        <v>90</v>
      </c>
      <c r="AB12" s="135">
        <f>IF(AA12="n/a","n/a",AA12*(1-'Technical parameters PROD'!$C$27))</f>
        <v>90</v>
      </c>
      <c r="AC12" s="135">
        <f>IF(AB12="n/a","n/a",AB12*(1-'Technical parameters PROD'!$C$27))</f>
        <v>90</v>
      </c>
      <c r="AD12" s="135">
        <f>IF(AC12="n/a","n/a",AC12*(1-'Technical parameters PROD'!$C$27))</f>
        <v>90</v>
      </c>
      <c r="AE12" s="135">
        <f>IF(AD12="n/a","n/a",AD12*(1-'Technical parameters PROD'!$C$27))</f>
        <v>90</v>
      </c>
      <c r="AF12" s="135">
        <f>IF(AE12="n/a","n/a",AE12*(1-'Technical parameters PROD'!$C$27))</f>
        <v>90</v>
      </c>
      <c r="AG12" s="135">
        <f>IF(AF12="n/a","n/a",AF12*(1-'Technical parameters PROD'!$C$27))</f>
        <v>90</v>
      </c>
      <c r="AH12" s="135">
        <f>IF(AG12="n/a","n/a",AG12*(1-'Technical parameters PROD'!$C$27))</f>
        <v>90</v>
      </c>
      <c r="AI12" s="135">
        <f>IF(AH12="n/a","n/a",AH12*(1-'Technical parameters PROD'!$C$27))</f>
        <v>90</v>
      </c>
      <c r="AJ12" s="135">
        <f>IF(AI12="n/a","n/a",AI12*(1-'Technical parameters PROD'!$C$27))</f>
        <v>90</v>
      </c>
      <c r="AK12" s="135">
        <f>IF(AJ12="n/a","n/a",AJ12*(1-'Technical parameters PROD'!$C$27))</f>
        <v>90</v>
      </c>
      <c r="AL12" s="135">
        <f>IF(AK12="n/a","n/a",AK12*(1-'Technical parameters PROD'!$C$27))</f>
        <v>90</v>
      </c>
      <c r="AM12" s="135">
        <f>IF(AL12="n/a","n/a",AL12*(1-'Technical parameters PROD'!$C$27))</f>
        <v>90</v>
      </c>
      <c r="AN12" s="135">
        <f>IF(AM12="n/a","n/a",AM12*(1-'Technical parameters PROD'!$C$27))</f>
        <v>90</v>
      </c>
      <c r="AO12" s="135">
        <f>IF(AN12="n/a","n/a",AN12*(1-'Technical parameters PROD'!$C$27))</f>
        <v>90</v>
      </c>
      <c r="AP12" s="135">
        <f>IF(AO12="n/a","n/a",AO12*(1-'Technical parameters PROD'!$C$27))</f>
        <v>90</v>
      </c>
      <c r="AQ12" s="135">
        <f>IF(AP12="n/a","n/a",AP12*(1-'Technical parameters PROD'!$C$27))</f>
        <v>90</v>
      </c>
      <c r="AR12" s="135">
        <f>IF(AQ12="n/a","n/a",AQ12*(1-'Technical parameters PROD'!$C$27))</f>
        <v>90</v>
      </c>
      <c r="AS12" s="135">
        <f>IF(AR12="n/a","n/a",AR12*(1-'Technical parameters PROD'!$C$27))</f>
        <v>90</v>
      </c>
      <c r="AT12" s="135">
        <f>IF(AS12="n/a","n/a",AS12*(1-'Technical parameters PROD'!$C$27))</f>
        <v>90</v>
      </c>
      <c r="AU12" s="135">
        <f>IF(AT12="n/a","n/a",AT12*(1-'Technical parameters PROD'!$C$27))</f>
        <v>90</v>
      </c>
      <c r="AV12" s="135">
        <f>IF(AU12="n/a","n/a",AU12*(1-'Technical parameters PROD'!$C$27))</f>
        <v>90</v>
      </c>
      <c r="AW12" s="135">
        <f>IF(AV12="n/a","n/a",AV12*(1-'Technical parameters PROD'!$C$27))</f>
        <v>90</v>
      </c>
      <c r="AX12" s="135">
        <f>IF(AW12="n/a","n/a",AW12*(1-'Technical parameters PROD'!$C$27))</f>
        <v>90</v>
      </c>
      <c r="AY12" s="135">
        <f>IF(AX12="n/a","n/a",AX12*(1-'Technical parameters PROD'!$C$27))</f>
        <v>90</v>
      </c>
      <c r="AZ12" s="135">
        <f>IF(AY12="n/a","n/a",AY12*(1-'Technical parameters PROD'!$C$27))</f>
        <v>90</v>
      </c>
      <c r="BA12" s="135">
        <f>IF(AZ12="n/a","n/a",AZ12*(1-'Technical parameters PROD'!$C$27))</f>
        <v>90</v>
      </c>
      <c r="BB12" s="135">
        <f>IF(BA12="n/a","n/a",BA12*(1-'Technical parameters PROD'!$C$27))</f>
        <v>90</v>
      </c>
      <c r="BC12" s="135">
        <f>IF(BB12="n/a","n/a",BB12*(1-'Technical parameters PROD'!$C$27))</f>
        <v>90</v>
      </c>
      <c r="BD12" s="135">
        <f>IF(BC12="n/a","n/a",BC12*(1-'Technical parameters PROD'!$C$27))</f>
        <v>90</v>
      </c>
      <c r="BE12" s="135">
        <f>IF(BD12="n/a","n/a",BD12*(1-'Technical parameters PROD'!$C$27))</f>
        <v>90</v>
      </c>
    </row>
    <row r="13" spans="3:57" ht="15.6" customHeight="1">
      <c r="C13" s="398"/>
      <c r="D13" s="79" t="s">
        <v>241</v>
      </c>
      <c r="E13" s="80"/>
      <c r="F13" s="80"/>
      <c r="G13" s="80"/>
      <c r="H13" s="81">
        <f>IF($H$12="n/a","n/a",(IF('Technical parameters PROD'!$C$9&gt;1,'Technical parameters PROD'!$C$9,1)*'Technical parameters PROD'!$C$11)*'Technical parameters TEMP'!$C$16*(H12-'Technical parameters PROD'!$C$25)/10^6)</f>
        <v>17.246924999999997</v>
      </c>
      <c r="I13" s="81">
        <f>IF($H$12="n/a","n/a",(IF('Technical parameters PROD'!$C$9&gt;1,'Technical parameters PROD'!$C$9,1)*'Technical parameters PROD'!$C$11)*'Technical parameters TEMP'!$C$16*(I12-'Technical parameters PROD'!$C$25)/10^6)</f>
        <v>17.246924999999997</v>
      </c>
      <c r="J13" s="81">
        <f>IF($H$12="n/a","n/a",(IF('Technical parameters PROD'!$C$9&gt;1,'Technical parameters PROD'!$C$9,1)*'Technical parameters PROD'!$C$11)*'Technical parameters TEMP'!$C$16*(J12-'Technical parameters PROD'!$C$25)/10^6)</f>
        <v>17.246924999999997</v>
      </c>
      <c r="K13" s="81">
        <f>IF($H$12="n/a","n/a",(IF('Technical parameters PROD'!$C$9&gt;1,'Technical parameters PROD'!$C$9,1)*'Technical parameters PROD'!$C$11)*'Technical parameters TEMP'!$C$16*(K12-'Technical parameters PROD'!$C$25)/10^6)</f>
        <v>17.246924999999997</v>
      </c>
      <c r="L13" s="81">
        <f>IF($H$12="n/a","n/a",(IF('Technical parameters PROD'!$C$9&gt;1,'Technical parameters PROD'!$C$9,1)*'Technical parameters PROD'!$C$11)*'Technical parameters TEMP'!$C$16*(L12-'Technical parameters PROD'!$C$25)/10^6)</f>
        <v>17.246924999999997</v>
      </c>
      <c r="M13" s="81">
        <f>IF($H$12="n/a","n/a",(IF('Technical parameters PROD'!$C$9&gt;1,'Technical parameters PROD'!$C$9,1)*'Technical parameters PROD'!$C$11)*'Technical parameters TEMP'!$C$16*(M12-'Technical parameters PROD'!$C$25)/10^6)</f>
        <v>17.246924999999997</v>
      </c>
      <c r="N13" s="81">
        <f>IF($H$12="n/a","n/a",(IF('Technical parameters PROD'!$C$9&gt;1,'Technical parameters PROD'!$C$9,1)*'Technical parameters PROD'!$C$11)*'Technical parameters TEMP'!$C$16*(N12-'Technical parameters PROD'!$C$25)/10^6)</f>
        <v>17.246924999999997</v>
      </c>
      <c r="O13" s="81">
        <f>IF($H$12="n/a","n/a",(IF('Technical parameters PROD'!$C$9&gt;1,'Technical parameters PROD'!$C$9,1)*'Technical parameters PROD'!$C$11)*'Technical parameters TEMP'!$C$16*(O12-'Technical parameters PROD'!$C$25)/10^6)</f>
        <v>17.246924999999997</v>
      </c>
      <c r="P13" s="81">
        <f>IF($H$12="n/a","n/a",(IF('Technical parameters PROD'!$C$9&gt;1,'Technical parameters PROD'!$C$9,1)*'Technical parameters PROD'!$C$11)*'Technical parameters TEMP'!$C$16*(P12-'Technical parameters PROD'!$C$25)/10^6)</f>
        <v>17.246924999999997</v>
      </c>
      <c r="Q13" s="81">
        <f>IF($H$12="n/a","n/a",(IF('Technical parameters PROD'!$C$9&gt;1,'Technical parameters PROD'!$C$9,1)*'Technical parameters PROD'!$C$11)*'Technical parameters TEMP'!$C$16*(Q12-'Technical parameters PROD'!$C$25)/10^6)</f>
        <v>17.246924999999997</v>
      </c>
      <c r="R13" s="81">
        <f>IF($H$12="n/a","n/a",(IF('Technical parameters PROD'!$C$9&gt;1,'Technical parameters PROD'!$C$9,1)*'Technical parameters PROD'!$C$11)*'Technical parameters TEMP'!$C$16*(R12-'Technical parameters PROD'!$C$25)/10^6)</f>
        <v>17.246924999999997</v>
      </c>
      <c r="S13" s="81">
        <f>IF($H$12="n/a","n/a",(IF('Technical parameters PROD'!$C$9&gt;1,'Technical parameters PROD'!$C$9,1)*'Technical parameters PROD'!$C$11)*'Technical parameters TEMP'!$C$16*(S12-'Technical parameters PROD'!$C$25)/10^6)</f>
        <v>17.246924999999997</v>
      </c>
      <c r="T13" s="81">
        <f>IF($H$12="n/a","n/a",(IF('Technical parameters PROD'!$C$9&gt;1,'Technical parameters PROD'!$C$9,1)*'Technical parameters PROD'!$C$11)*'Technical parameters TEMP'!$C$16*(T12-'Technical parameters PROD'!$C$25)/10^6)</f>
        <v>17.246924999999997</v>
      </c>
      <c r="U13" s="81">
        <f>IF($H$12="n/a","n/a",(IF('Technical parameters PROD'!$C$9&gt;1,'Technical parameters PROD'!$C$9,1)*'Technical parameters PROD'!$C$11)*'Technical parameters TEMP'!$C$16*(U12-'Technical parameters PROD'!$C$25)/10^6)</f>
        <v>17.246924999999997</v>
      </c>
      <c r="V13" s="81">
        <f>IF($H$12="n/a","n/a",(IF('Technical parameters PROD'!$C$9&gt;1,'Technical parameters PROD'!$C$9,1)*'Technical parameters PROD'!$C$11)*'Technical parameters TEMP'!$C$16*(V12-'Technical parameters PROD'!$C$25)/10^6)</f>
        <v>17.246924999999997</v>
      </c>
      <c r="W13" s="81">
        <f>IF($H$12="n/a","n/a",(IF('Technical parameters PROD'!$C$9&gt;1,'Technical parameters PROD'!$C$9,1)*'Technical parameters PROD'!$C$11)*'Technical parameters TEMP'!$C$16*(W12-'Technical parameters PROD'!$C$25)/10^6)</f>
        <v>17.246924999999997</v>
      </c>
      <c r="X13" s="81">
        <f>IF($H$12="n/a","n/a",(IF('Technical parameters PROD'!$C$9&gt;1,'Technical parameters PROD'!$C$9,1)*'Technical parameters PROD'!$C$11)*'Technical parameters TEMP'!$C$16*(X12-'Technical parameters PROD'!$C$25)/10^6)</f>
        <v>17.246924999999997</v>
      </c>
      <c r="Y13" s="81">
        <f>IF($H$12="n/a","n/a",(IF('Technical parameters PROD'!$C$9&gt;1,'Technical parameters PROD'!$C$9,1)*'Technical parameters PROD'!$C$11)*'Technical parameters TEMP'!$C$16*(Y12-'Technical parameters PROD'!$C$25)/10^6)</f>
        <v>17.246924999999997</v>
      </c>
      <c r="Z13" s="81">
        <f>IF($H$12="n/a","n/a",(IF('Technical parameters PROD'!$C$9&gt;1,'Technical parameters PROD'!$C$9,1)*'Technical parameters PROD'!$C$11)*'Technical parameters TEMP'!$C$16*(Z12-'Technical parameters PROD'!$C$25)/10^6)</f>
        <v>17.246924999999997</v>
      </c>
      <c r="AA13" s="81">
        <f>IF($H$12="n/a","n/a",(IF('Technical parameters PROD'!$C$9&gt;1,'Technical parameters PROD'!$C$9,1)*'Technical parameters PROD'!$C$11)*'Technical parameters TEMP'!$C$16*(AA12-'Technical parameters PROD'!$C$25)/10^6)</f>
        <v>17.246924999999997</v>
      </c>
      <c r="AB13" s="81">
        <f>IF($H$12="n/a","n/a",(IF('Technical parameters PROD'!$C$9&gt;1,'Technical parameters PROD'!$C$9,1)*'Technical parameters PROD'!$C$11)*'Technical parameters TEMP'!$C$16*(AB12-'Technical parameters PROD'!$C$25)/10^6)</f>
        <v>17.246924999999997</v>
      </c>
      <c r="AC13" s="81">
        <f>IF($H$12="n/a","n/a",(IF('Technical parameters PROD'!$C$9&gt;1,'Technical parameters PROD'!$C$9,1)*'Technical parameters PROD'!$C$11)*'Technical parameters TEMP'!$C$16*(AC12-'Technical parameters PROD'!$C$25)/10^6)</f>
        <v>17.246924999999997</v>
      </c>
      <c r="AD13" s="81">
        <f>IF($H$12="n/a","n/a",(IF('Technical parameters PROD'!$C$9&gt;1,'Technical parameters PROD'!$C$9,1)*'Technical parameters PROD'!$C$11)*'Technical parameters TEMP'!$C$16*(AD12-'Technical parameters PROD'!$C$25)/10^6)</f>
        <v>17.246924999999997</v>
      </c>
      <c r="AE13" s="81">
        <f>IF($H$12="n/a","n/a",(IF('Technical parameters PROD'!$C$9&gt;1,'Technical parameters PROD'!$C$9,1)*'Technical parameters PROD'!$C$11)*'Technical parameters TEMP'!$C$16*(AE12-'Technical parameters PROD'!$C$25)/10^6)</f>
        <v>17.246924999999997</v>
      </c>
      <c r="AF13" s="81">
        <f>IF($H$12="n/a","n/a",(IF('Technical parameters PROD'!$C$9&gt;1,'Technical parameters PROD'!$C$9,1)*'Technical parameters PROD'!$C$11)*'Technical parameters TEMP'!$C$16*(AF12-'Technical parameters PROD'!$C$25)/10^6)</f>
        <v>17.246924999999997</v>
      </c>
      <c r="AG13" s="81">
        <f>IF($H$12="n/a","n/a",(IF('Technical parameters PROD'!$C$9&gt;1,'Technical parameters PROD'!$C$9,1)*'Technical parameters PROD'!$C$11)*'Technical parameters TEMP'!$C$16*(AG12-'Technical parameters PROD'!$C$25)/10^6)</f>
        <v>17.246924999999997</v>
      </c>
      <c r="AH13" s="81">
        <f>IF($H$12="n/a","n/a",(IF('Technical parameters PROD'!$C$9&gt;1,'Technical parameters PROD'!$C$9,1)*'Technical parameters PROD'!$C$11)*'Technical parameters TEMP'!$C$16*(AH12-'Technical parameters PROD'!$C$25)/10^6)</f>
        <v>17.246924999999997</v>
      </c>
      <c r="AI13" s="81">
        <f>IF($H$12="n/a","n/a",(IF('Technical parameters PROD'!$C$9&gt;1,'Technical parameters PROD'!$C$9,1)*'Technical parameters PROD'!$C$11)*'Technical parameters TEMP'!$C$16*(AI12-'Technical parameters PROD'!$C$25)/10^6)</f>
        <v>17.246924999999997</v>
      </c>
      <c r="AJ13" s="81">
        <f>IF($H$12="n/a","n/a",(IF('Technical parameters PROD'!$C$9&gt;1,'Technical parameters PROD'!$C$9,1)*'Technical parameters PROD'!$C$11)*'Technical parameters TEMP'!$C$16*(AJ12-'Technical parameters PROD'!$C$25)/10^6)</f>
        <v>17.246924999999997</v>
      </c>
      <c r="AK13" s="81">
        <f>IF($H$12="n/a","n/a",(IF('Technical parameters PROD'!$C$9&gt;1,'Technical parameters PROD'!$C$9,1)*'Technical parameters PROD'!$C$11)*'Technical parameters TEMP'!$C$16*(AK12-'Technical parameters PROD'!$C$25)/10^6)</f>
        <v>17.246924999999997</v>
      </c>
      <c r="AL13" s="81">
        <f>IF($H$12="n/a","n/a",(IF('Technical parameters PROD'!$C$9&gt;1,'Technical parameters PROD'!$C$9,1)*'Technical parameters PROD'!$C$11)*'Technical parameters TEMP'!$C$16*(AL12-'Technical parameters PROD'!$C$25)/10^6)</f>
        <v>17.246924999999997</v>
      </c>
      <c r="AM13" s="81">
        <f>IF($H$12="n/a","n/a",(IF('Technical parameters PROD'!$C$9&gt;1,'Technical parameters PROD'!$C$9,1)*'Technical parameters PROD'!$C$11)*'Technical parameters TEMP'!$C$16*(AM12-'Technical parameters PROD'!$C$25)/10^6)</f>
        <v>17.246924999999997</v>
      </c>
      <c r="AN13" s="81">
        <f>IF($H$12="n/a","n/a",(IF('Technical parameters PROD'!$C$9&gt;1,'Technical parameters PROD'!$C$9,1)*'Technical parameters PROD'!$C$11)*'Technical parameters TEMP'!$C$16*(AN12-'Technical parameters PROD'!$C$25)/10^6)</f>
        <v>17.246924999999997</v>
      </c>
      <c r="AO13" s="81">
        <f>IF($H$12="n/a","n/a",(IF('Technical parameters PROD'!$C$9&gt;1,'Technical parameters PROD'!$C$9,1)*'Technical parameters PROD'!$C$11)*'Technical parameters TEMP'!$C$16*(AO12-'Technical parameters PROD'!$C$25)/10^6)</f>
        <v>17.246924999999997</v>
      </c>
      <c r="AP13" s="81">
        <f>IF($H$12="n/a","n/a",(IF('Technical parameters PROD'!$C$9&gt;1,'Technical parameters PROD'!$C$9,1)*'Technical parameters PROD'!$C$11)*'Technical parameters TEMP'!$C$16*(AP12-'Technical parameters PROD'!$C$25)/10^6)</f>
        <v>17.246924999999997</v>
      </c>
      <c r="AQ13" s="81">
        <f>IF($H$12="n/a","n/a",(IF('Technical parameters PROD'!$C$9&gt;1,'Technical parameters PROD'!$C$9,1)*'Technical parameters PROD'!$C$11)*'Technical parameters TEMP'!$C$16*(AQ12-'Technical parameters PROD'!$C$25)/10^6)</f>
        <v>17.246924999999997</v>
      </c>
      <c r="AR13" s="81">
        <f>IF($H$12="n/a","n/a",(IF('Technical parameters PROD'!$C$9&gt;1,'Technical parameters PROD'!$C$9,1)*'Technical parameters PROD'!$C$11)*'Technical parameters TEMP'!$C$16*(AR12-'Technical parameters PROD'!$C$25)/10^6)</f>
        <v>17.246924999999997</v>
      </c>
      <c r="AS13" s="81">
        <f>IF($H$12="n/a","n/a",(IF('Technical parameters PROD'!$C$9&gt;1,'Technical parameters PROD'!$C$9,1)*'Technical parameters PROD'!$C$11)*'Technical parameters TEMP'!$C$16*(AS12-'Technical parameters PROD'!$C$25)/10^6)</f>
        <v>17.246924999999997</v>
      </c>
      <c r="AT13" s="81">
        <f>IF($H$12="n/a","n/a",(IF('Technical parameters PROD'!$C$9&gt;1,'Technical parameters PROD'!$C$9,1)*'Technical parameters PROD'!$C$11)*'Technical parameters TEMP'!$C$16*(AT12-'Technical parameters PROD'!$C$25)/10^6)</f>
        <v>17.246924999999997</v>
      </c>
      <c r="AU13" s="81">
        <f>IF($H$12="n/a","n/a",(IF('Technical parameters PROD'!$C$9&gt;1,'Technical parameters PROD'!$C$9,1)*'Technical parameters PROD'!$C$11)*'Technical parameters TEMP'!$C$16*(AU12-'Technical parameters PROD'!$C$25)/10^6)</f>
        <v>17.246924999999997</v>
      </c>
      <c r="AV13" s="81">
        <f>IF($H$12="n/a","n/a",(IF('Technical parameters PROD'!$C$9&gt;1,'Technical parameters PROD'!$C$9,1)*'Technical parameters PROD'!$C$11)*'Technical parameters TEMP'!$C$16*(AV12-'Technical parameters PROD'!$C$25)/10^6)</f>
        <v>17.246924999999997</v>
      </c>
      <c r="AW13" s="81">
        <f>IF($H$12="n/a","n/a",(IF('Technical parameters PROD'!$C$9&gt;1,'Technical parameters PROD'!$C$9,1)*'Technical parameters PROD'!$C$11)*'Technical parameters TEMP'!$C$16*(AW12-'Technical parameters PROD'!$C$25)/10^6)</f>
        <v>17.246924999999997</v>
      </c>
      <c r="AX13" s="81">
        <f>IF($H$12="n/a","n/a",(IF('Technical parameters PROD'!$C$9&gt;1,'Technical parameters PROD'!$C$9,1)*'Technical parameters PROD'!$C$11)*'Technical parameters TEMP'!$C$16*(AX12-'Technical parameters PROD'!$C$25)/10^6)</f>
        <v>17.246924999999997</v>
      </c>
      <c r="AY13" s="81">
        <f>IF($H$12="n/a","n/a",(IF('Technical parameters PROD'!$C$9&gt;1,'Technical parameters PROD'!$C$9,1)*'Technical parameters PROD'!$C$11)*'Technical parameters TEMP'!$C$16*(AY12-'Technical parameters PROD'!$C$25)/10^6)</f>
        <v>17.246924999999997</v>
      </c>
      <c r="AZ13" s="81">
        <f>IF($H$12="n/a","n/a",(IF('Technical parameters PROD'!$C$9&gt;1,'Technical parameters PROD'!$C$9,1)*'Technical parameters PROD'!$C$11)*'Technical parameters TEMP'!$C$16*(AZ12-'Technical parameters PROD'!$C$25)/10^6)</f>
        <v>17.246924999999997</v>
      </c>
      <c r="BA13" s="81">
        <f>IF($H$12="n/a","n/a",(IF('Technical parameters PROD'!$C$9&gt;1,'Technical parameters PROD'!$C$9,1)*'Technical parameters PROD'!$C$11)*'Technical parameters TEMP'!$C$16*(BA12-'Technical parameters PROD'!$C$25)/10^6)</f>
        <v>17.246924999999997</v>
      </c>
      <c r="BB13" s="81">
        <f>IF($H$12="n/a","n/a",(IF('Technical parameters PROD'!$C$9&gt;1,'Technical parameters PROD'!$C$9,1)*'Technical parameters PROD'!$C$11)*'Technical parameters TEMP'!$C$16*(BB12-'Technical parameters PROD'!$C$25)/10^6)</f>
        <v>17.246924999999997</v>
      </c>
      <c r="BC13" s="81">
        <f>IF($H$12="n/a","n/a",(IF('Technical parameters PROD'!$C$9&gt;1,'Technical parameters PROD'!$C$9,1)*'Technical parameters PROD'!$C$11)*'Technical parameters TEMP'!$C$16*(BC12-'Technical parameters PROD'!$C$25)/10^6)</f>
        <v>17.246924999999997</v>
      </c>
      <c r="BD13" s="81">
        <f>IF($H$12="n/a","n/a",(IF('Technical parameters PROD'!$C$9&gt;1,'Technical parameters PROD'!$C$9,1)*'Technical parameters PROD'!$C$11)*'Technical parameters TEMP'!$C$16*(BD12-'Technical parameters PROD'!$C$25)/10^6)</f>
        <v>17.246924999999997</v>
      </c>
      <c r="BE13" s="81">
        <f>IF($H$12="n/a","n/a",(IF('Technical parameters PROD'!$C$9&gt;1,'Technical parameters PROD'!$C$9,1)*'Technical parameters PROD'!$C$11)*'Technical parameters TEMP'!$C$16*(BE12-'Technical parameters PROD'!$C$25)/10^6)</f>
        <v>17.246924999999997</v>
      </c>
    </row>
    <row r="14" spans="3:57" ht="7.35" customHeight="1">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row>
    <row r="15" spans="3:57">
      <c r="C15" s="399" t="s">
        <v>276</v>
      </c>
      <c r="D15" s="38" t="s">
        <v>143</v>
      </c>
      <c r="E15" s="39"/>
      <c r="F15" s="39"/>
      <c r="G15" s="39"/>
      <c r="H15" s="77">
        <f>IF($H$9="n/a",0,H11*'Economic parameters'!$C$6)</f>
        <v>9051.477789591514</v>
      </c>
      <c r="I15" s="77">
        <f>IF($H$9="n/a",0,I11*'Economic parameters'!$C$6)</f>
        <v>9051.477789591514</v>
      </c>
      <c r="J15" s="77">
        <f>IF($H$9="n/a",0,J11*'Economic parameters'!$C$6)</f>
        <v>9051.477789591514</v>
      </c>
      <c r="K15" s="77">
        <f>IF($H$9="n/a",0,K11*'Economic parameters'!$C$6)</f>
        <v>9051.477789591514</v>
      </c>
      <c r="L15" s="77">
        <f>IF($H$9="n/a",0,L11*'Economic parameters'!$C$6)</f>
        <v>9051.477789591514</v>
      </c>
      <c r="M15" s="77">
        <f>IF($H$9="n/a",0,M11*'Economic parameters'!$C$6)</f>
        <v>9051.477789591514</v>
      </c>
      <c r="N15" s="77">
        <f>IF($H$9="n/a",0,N11*'Economic parameters'!$C$6)</f>
        <v>9051.477789591514</v>
      </c>
      <c r="O15" s="77">
        <f>IF($H$9="n/a",0,O11*'Economic parameters'!$C$6)</f>
        <v>9051.477789591514</v>
      </c>
      <c r="P15" s="77">
        <f>IF($H$9="n/a",0,P11*'Economic parameters'!$C$6)</f>
        <v>9051.477789591514</v>
      </c>
      <c r="Q15" s="77">
        <f>IF($H$9="n/a",0,Q11*'Economic parameters'!$C$6)</f>
        <v>9051.477789591514</v>
      </c>
      <c r="R15" s="77">
        <f>IF($H$9="n/a",0,R11*'Economic parameters'!$C$6)</f>
        <v>9051.477789591514</v>
      </c>
      <c r="S15" s="77">
        <f>IF($H$9="n/a",0,S11*'Economic parameters'!$C$6)</f>
        <v>9051.477789591514</v>
      </c>
      <c r="T15" s="77">
        <f>IF($H$9="n/a",0,T11*'Economic parameters'!$C$6)</f>
        <v>9051.477789591514</v>
      </c>
      <c r="U15" s="77">
        <f>IF($H$9="n/a",0,U11*'Economic parameters'!$C$6)</f>
        <v>9051.477789591514</v>
      </c>
      <c r="V15" s="77">
        <f>IF($H$9="n/a",0,V11*'Economic parameters'!$C$6)</f>
        <v>9051.477789591514</v>
      </c>
      <c r="W15" s="77">
        <f>IF($H$9="n/a",0,W11*'Economic parameters'!$C$6)</f>
        <v>9051.477789591514</v>
      </c>
      <c r="X15" s="77">
        <f>IF($H$9="n/a",0,X11*'Economic parameters'!$C$6)</f>
        <v>9051.477789591514</v>
      </c>
      <c r="Y15" s="77">
        <f>IF($H$9="n/a",0,Y11*'Economic parameters'!$C$6)</f>
        <v>9051.477789591514</v>
      </c>
      <c r="Z15" s="77">
        <f>IF($H$9="n/a",0,Z11*'Economic parameters'!$C$6)</f>
        <v>9051.477789591514</v>
      </c>
      <c r="AA15" s="77">
        <f>IF($H$9="n/a",0,AA11*'Economic parameters'!$C$6)</f>
        <v>9051.477789591514</v>
      </c>
      <c r="AB15" s="77">
        <f>IF($H$9="n/a",0,AB11*'Economic parameters'!$C$6)</f>
        <v>9051.477789591514</v>
      </c>
      <c r="AC15" s="77">
        <f>IF($H$9="n/a",0,AC11*'Economic parameters'!$C$6)</f>
        <v>9051.477789591514</v>
      </c>
      <c r="AD15" s="77">
        <f>IF($H$9="n/a",0,AD11*'Economic parameters'!$C$6)</f>
        <v>9051.477789591514</v>
      </c>
      <c r="AE15" s="77">
        <f>IF($H$9="n/a",0,AE11*'Economic parameters'!$C$6)</f>
        <v>9051.477789591514</v>
      </c>
      <c r="AF15" s="77">
        <f>IF($H$9="n/a",0,AF11*'Economic parameters'!$C$6)</f>
        <v>9051.477789591514</v>
      </c>
      <c r="AG15" s="77">
        <f>IF($H$9="n/a",0,AG11*'Economic parameters'!$C$6)</f>
        <v>9051.477789591514</v>
      </c>
      <c r="AH15" s="77">
        <f>IF($H$9="n/a",0,AH11*'Economic parameters'!$C$6)</f>
        <v>9051.477789591514</v>
      </c>
      <c r="AI15" s="77">
        <f>IF($H$9="n/a",0,AI11*'Economic parameters'!$C$6)</f>
        <v>9051.477789591514</v>
      </c>
      <c r="AJ15" s="77">
        <f>IF($H$9="n/a",0,AJ11*'Economic parameters'!$C$6)</f>
        <v>9051.477789591514</v>
      </c>
      <c r="AK15" s="77">
        <f>IF($H$9="n/a",0,AK11*'Economic parameters'!$C$6)</f>
        <v>9051.477789591514</v>
      </c>
      <c r="AL15" s="77">
        <f>IF($H$9="n/a",0,AL11*'Economic parameters'!$C$6)</f>
        <v>9051.477789591514</v>
      </c>
      <c r="AM15" s="77">
        <f>IF($H$9="n/a",0,AM11*'Economic parameters'!$C$6)</f>
        <v>9051.477789591514</v>
      </c>
      <c r="AN15" s="77">
        <f>IF($H$9="n/a",0,AN11*'Economic parameters'!$C$6)</f>
        <v>9051.477789591514</v>
      </c>
      <c r="AO15" s="77">
        <f>IF($H$9="n/a",0,AO11*'Economic parameters'!$C$6)</f>
        <v>9051.477789591514</v>
      </c>
      <c r="AP15" s="77">
        <f>IF($H$9="n/a",0,AP11*'Economic parameters'!$C$6)</f>
        <v>9051.477789591514</v>
      </c>
      <c r="AQ15" s="77">
        <f>IF($H$9="n/a",0,AQ11*'Economic parameters'!$C$6)</f>
        <v>9051.477789591514</v>
      </c>
      <c r="AR15" s="77">
        <f>IF($H$9="n/a",0,AR11*'Economic parameters'!$C$6)</f>
        <v>9051.477789591514</v>
      </c>
      <c r="AS15" s="77">
        <f>IF($H$9="n/a",0,AS11*'Economic parameters'!$C$6)</f>
        <v>9051.477789591514</v>
      </c>
      <c r="AT15" s="77">
        <f>IF($H$9="n/a",0,AT11*'Economic parameters'!$C$6)</f>
        <v>9051.477789591514</v>
      </c>
      <c r="AU15" s="77">
        <f>IF($H$9="n/a",0,AU11*'Economic parameters'!$C$6)</f>
        <v>9051.477789591514</v>
      </c>
      <c r="AV15" s="77">
        <f>IF($H$9="n/a",0,AV11*'Economic parameters'!$C$6)</f>
        <v>9051.477789591514</v>
      </c>
      <c r="AW15" s="77">
        <f>IF($H$9="n/a",0,AW11*'Economic parameters'!$C$6)</f>
        <v>9051.477789591514</v>
      </c>
      <c r="AX15" s="77">
        <f>IF($H$9="n/a",0,AX11*'Economic parameters'!$C$6)</f>
        <v>9051.477789591514</v>
      </c>
      <c r="AY15" s="77">
        <f>IF($H$9="n/a",0,AY11*'Economic parameters'!$C$6)</f>
        <v>9051.477789591514</v>
      </c>
      <c r="AZ15" s="77">
        <f>IF($H$9="n/a",0,AZ11*'Economic parameters'!$C$6)</f>
        <v>9051.477789591514</v>
      </c>
      <c r="BA15" s="77">
        <f>IF($H$9="n/a",0,BA11*'Economic parameters'!$C$6)</f>
        <v>9051.477789591514</v>
      </c>
      <c r="BB15" s="77">
        <f>IF($H$9="n/a",0,BB11*'Economic parameters'!$C$6)</f>
        <v>9051.477789591514</v>
      </c>
      <c r="BC15" s="77">
        <f>IF($H$9="n/a",0,BC11*'Economic parameters'!$C$6)</f>
        <v>9051.477789591514</v>
      </c>
      <c r="BD15" s="77">
        <f>IF($H$9="n/a",0,BD11*'Economic parameters'!$C$6)</f>
        <v>9051.477789591514</v>
      </c>
      <c r="BE15" s="77">
        <f>IF($H$9="n/a",0,BE11*'Economic parameters'!$C$6)</f>
        <v>9051.477789591514</v>
      </c>
    </row>
    <row r="16" spans="3:57">
      <c r="C16" s="400"/>
      <c r="D16" s="41" t="s">
        <v>144</v>
      </c>
      <c r="E16" s="42"/>
      <c r="F16" s="42"/>
      <c r="G16" s="42"/>
      <c r="H16" s="78">
        <f>IF($H$12="n/a","n/a",H13*'Economic parameters'!$C$7)</f>
        <v>68987.699999999983</v>
      </c>
      <c r="I16" s="78">
        <f>IF($H$12="n/a","n/a",I13*'Economic parameters'!$C$7)</f>
        <v>68987.699999999983</v>
      </c>
      <c r="J16" s="78">
        <f>IF($H$12="n/a","n/a",J13*'Economic parameters'!$C$7)</f>
        <v>68987.699999999983</v>
      </c>
      <c r="K16" s="78">
        <f>IF($H$12="n/a","n/a",K13*'Economic parameters'!$C$7)</f>
        <v>68987.699999999983</v>
      </c>
      <c r="L16" s="78">
        <f>IF($H$12="n/a","n/a",L13*'Economic parameters'!$C$7)</f>
        <v>68987.699999999983</v>
      </c>
      <c r="M16" s="78">
        <f>IF($H$12="n/a","n/a",M13*'Economic parameters'!$C$7)</f>
        <v>68987.699999999983</v>
      </c>
      <c r="N16" s="78">
        <f>IF($H$12="n/a","n/a",N13*'Economic parameters'!$C$7)</f>
        <v>68987.699999999983</v>
      </c>
      <c r="O16" s="78">
        <f>IF($H$12="n/a","n/a",O13*'Economic parameters'!$C$7)</f>
        <v>68987.699999999983</v>
      </c>
      <c r="P16" s="78">
        <f>IF($H$12="n/a","n/a",P13*'Economic parameters'!$C$7)</f>
        <v>68987.699999999983</v>
      </c>
      <c r="Q16" s="78">
        <f>IF($H$12="n/a","n/a",Q13*'Economic parameters'!$C$7)</f>
        <v>68987.699999999983</v>
      </c>
      <c r="R16" s="78">
        <f>IF($H$12="n/a","n/a",R13*'Economic parameters'!$C$7)</f>
        <v>68987.699999999983</v>
      </c>
      <c r="S16" s="78">
        <f>IF($H$12="n/a","n/a",S13*'Economic parameters'!$C$7)</f>
        <v>68987.699999999983</v>
      </c>
      <c r="T16" s="78">
        <f>IF($H$12="n/a","n/a",T13*'Economic parameters'!$C$7)</f>
        <v>68987.699999999983</v>
      </c>
      <c r="U16" s="78">
        <f>IF($H$12="n/a","n/a",U13*'Economic parameters'!$C$7)</f>
        <v>68987.699999999983</v>
      </c>
      <c r="V16" s="78">
        <f>IF($H$12="n/a","n/a",V13*'Economic parameters'!$C$7)</f>
        <v>68987.699999999983</v>
      </c>
      <c r="W16" s="78">
        <f>IF($H$12="n/a","n/a",W13*'Economic parameters'!$C$7)</f>
        <v>68987.699999999983</v>
      </c>
      <c r="X16" s="78">
        <f>IF($H$12="n/a","n/a",X13*'Economic parameters'!$C$7)</f>
        <v>68987.699999999983</v>
      </c>
      <c r="Y16" s="78">
        <f>IF($H$12="n/a","n/a",Y13*'Economic parameters'!$C$7)</f>
        <v>68987.699999999983</v>
      </c>
      <c r="Z16" s="78">
        <f>IF($H$12="n/a","n/a",Z13*'Economic parameters'!$C$7)</f>
        <v>68987.699999999983</v>
      </c>
      <c r="AA16" s="78">
        <f>IF($H$12="n/a","n/a",AA13*'Economic parameters'!$C$7)</f>
        <v>68987.699999999983</v>
      </c>
      <c r="AB16" s="78">
        <f>IF($H$12="n/a","n/a",AB13*'Economic parameters'!$C$7)</f>
        <v>68987.699999999983</v>
      </c>
      <c r="AC16" s="78">
        <f>IF($H$12="n/a","n/a",AC13*'Economic parameters'!$C$7)</f>
        <v>68987.699999999983</v>
      </c>
      <c r="AD16" s="78">
        <f>IF($H$12="n/a","n/a",AD13*'Economic parameters'!$C$7)</f>
        <v>68987.699999999983</v>
      </c>
      <c r="AE16" s="78">
        <f>IF($H$12="n/a","n/a",AE13*'Economic parameters'!$C$7)</f>
        <v>68987.699999999983</v>
      </c>
      <c r="AF16" s="78">
        <f>IF($H$12="n/a","n/a",AF13*'Economic parameters'!$C$7)</f>
        <v>68987.699999999983</v>
      </c>
      <c r="AG16" s="78">
        <f>IF($H$12="n/a","n/a",AG13*'Economic parameters'!$C$7)</f>
        <v>68987.699999999983</v>
      </c>
      <c r="AH16" s="78">
        <f>IF($H$12="n/a","n/a",AH13*'Economic parameters'!$C$7)</f>
        <v>68987.699999999983</v>
      </c>
      <c r="AI16" s="78">
        <f>IF($H$12="n/a","n/a",AI13*'Economic parameters'!$C$7)</f>
        <v>68987.699999999983</v>
      </c>
      <c r="AJ16" s="78">
        <f>IF($H$12="n/a","n/a",AJ13*'Economic parameters'!$C$7)</f>
        <v>68987.699999999983</v>
      </c>
      <c r="AK16" s="78">
        <f>IF($H$12="n/a","n/a",AK13*'Economic parameters'!$C$7)</f>
        <v>68987.699999999983</v>
      </c>
      <c r="AL16" s="78">
        <f>IF($H$12="n/a","n/a",AL13*'Economic parameters'!$C$7)</f>
        <v>68987.699999999983</v>
      </c>
      <c r="AM16" s="78">
        <f>IF($H$12="n/a","n/a",AM13*'Economic parameters'!$C$7)</f>
        <v>68987.699999999983</v>
      </c>
      <c r="AN16" s="78">
        <f>IF($H$12="n/a","n/a",AN13*'Economic parameters'!$C$7)</f>
        <v>68987.699999999983</v>
      </c>
      <c r="AO16" s="78">
        <f>IF($H$12="n/a","n/a",AO13*'Economic parameters'!$C$7)</f>
        <v>68987.699999999983</v>
      </c>
      <c r="AP16" s="78">
        <f>IF($H$12="n/a","n/a",AP13*'Economic parameters'!$C$7)</f>
        <v>68987.699999999983</v>
      </c>
      <c r="AQ16" s="78">
        <f>IF($H$12="n/a","n/a",AQ13*'Economic parameters'!$C$7)</f>
        <v>68987.699999999983</v>
      </c>
      <c r="AR16" s="78">
        <f>IF($H$12="n/a","n/a",AR13*'Economic parameters'!$C$7)</f>
        <v>68987.699999999983</v>
      </c>
      <c r="AS16" s="78">
        <f>IF($H$12="n/a","n/a",AS13*'Economic parameters'!$C$7)</f>
        <v>68987.699999999983</v>
      </c>
      <c r="AT16" s="78">
        <f>IF($H$12="n/a","n/a",AT13*'Economic parameters'!$C$7)</f>
        <v>68987.699999999983</v>
      </c>
      <c r="AU16" s="78">
        <f>IF($H$12="n/a","n/a",AU13*'Economic parameters'!$C$7)</f>
        <v>68987.699999999983</v>
      </c>
      <c r="AV16" s="78">
        <f>IF($H$12="n/a","n/a",AV13*'Economic parameters'!$C$7)</f>
        <v>68987.699999999983</v>
      </c>
      <c r="AW16" s="78">
        <f>IF($H$12="n/a","n/a",AW13*'Economic parameters'!$C$7)</f>
        <v>68987.699999999983</v>
      </c>
      <c r="AX16" s="78">
        <f>IF($H$12="n/a","n/a",AX13*'Economic parameters'!$C$7)</f>
        <v>68987.699999999983</v>
      </c>
      <c r="AY16" s="78">
        <f>IF($H$12="n/a","n/a",AY13*'Economic parameters'!$C$7)</f>
        <v>68987.699999999983</v>
      </c>
      <c r="AZ16" s="78">
        <f>IF($H$12="n/a","n/a",AZ13*'Economic parameters'!$C$7)</f>
        <v>68987.699999999983</v>
      </c>
      <c r="BA16" s="78">
        <f>IF($H$12="n/a","n/a",BA13*'Economic parameters'!$C$7)</f>
        <v>68987.699999999983</v>
      </c>
      <c r="BB16" s="78">
        <f>IF($H$12="n/a","n/a",BB13*'Economic parameters'!$C$7)</f>
        <v>68987.699999999983</v>
      </c>
      <c r="BC16" s="78">
        <f>IF($H$12="n/a","n/a",BC13*'Economic parameters'!$C$7)</f>
        <v>68987.699999999983</v>
      </c>
      <c r="BD16" s="78">
        <f>IF($H$12="n/a","n/a",BD13*'Economic parameters'!$C$7)</f>
        <v>68987.699999999983</v>
      </c>
      <c r="BE16" s="78">
        <f>IF($H$12="n/a","n/a",BE13*'Economic parameters'!$C$7)</f>
        <v>68987.699999999983</v>
      </c>
    </row>
    <row r="17" spans="3:57">
      <c r="C17" s="140"/>
      <c r="D17" s="16" t="s">
        <v>273</v>
      </c>
      <c r="E17" s="17"/>
      <c r="F17" s="17"/>
      <c r="G17" s="17"/>
      <c r="H17" s="141">
        <f>IF(H9="n/a",0,3.6*(H15/1000)/H10)</f>
        <v>217.21551580048779</v>
      </c>
      <c r="I17" s="141">
        <f t="shared" ref="I17:BE17" si="0">IF(I9="n/a",0,3.6*(I15/1000)/I10)</f>
        <v>217.21551580048779</v>
      </c>
      <c r="J17" s="141">
        <f t="shared" si="0"/>
        <v>217.21551580048779</v>
      </c>
      <c r="K17" s="141">
        <f t="shared" si="0"/>
        <v>217.21551580048779</v>
      </c>
      <c r="L17" s="141">
        <f t="shared" si="0"/>
        <v>217.21551580048779</v>
      </c>
      <c r="M17" s="141">
        <f t="shared" si="0"/>
        <v>217.21551580048779</v>
      </c>
      <c r="N17" s="141">
        <f t="shared" si="0"/>
        <v>217.21551580048779</v>
      </c>
      <c r="O17" s="141">
        <f t="shared" si="0"/>
        <v>217.21551580048779</v>
      </c>
      <c r="P17" s="141">
        <f t="shared" si="0"/>
        <v>217.21551580048779</v>
      </c>
      <c r="Q17" s="141">
        <f t="shared" si="0"/>
        <v>217.21551580048779</v>
      </c>
      <c r="R17" s="141">
        <f t="shared" si="0"/>
        <v>217.21551580048779</v>
      </c>
      <c r="S17" s="141">
        <f t="shared" si="0"/>
        <v>217.21551580048779</v>
      </c>
      <c r="T17" s="141">
        <f t="shared" si="0"/>
        <v>217.21551580048779</v>
      </c>
      <c r="U17" s="141">
        <f t="shared" si="0"/>
        <v>217.21551580048779</v>
      </c>
      <c r="V17" s="141">
        <f t="shared" si="0"/>
        <v>217.21551580048779</v>
      </c>
      <c r="W17" s="141">
        <f t="shared" si="0"/>
        <v>217.21551580048779</v>
      </c>
      <c r="X17" s="141">
        <f t="shared" si="0"/>
        <v>217.21551580048779</v>
      </c>
      <c r="Y17" s="141">
        <f t="shared" si="0"/>
        <v>217.21551580048779</v>
      </c>
      <c r="Z17" s="141">
        <f t="shared" si="0"/>
        <v>217.21551580048779</v>
      </c>
      <c r="AA17" s="141">
        <f t="shared" si="0"/>
        <v>217.21551580048779</v>
      </c>
      <c r="AB17" s="141">
        <f t="shared" si="0"/>
        <v>217.21551580048779</v>
      </c>
      <c r="AC17" s="141">
        <f t="shared" si="0"/>
        <v>217.21551580048779</v>
      </c>
      <c r="AD17" s="141">
        <f t="shared" si="0"/>
        <v>217.21551580048779</v>
      </c>
      <c r="AE17" s="141">
        <f t="shared" si="0"/>
        <v>217.21551580048779</v>
      </c>
      <c r="AF17" s="141">
        <f t="shared" si="0"/>
        <v>217.21551580048779</v>
      </c>
      <c r="AG17" s="141">
        <f t="shared" si="0"/>
        <v>217.21551580048779</v>
      </c>
      <c r="AH17" s="141">
        <f t="shared" si="0"/>
        <v>217.21551580048779</v>
      </c>
      <c r="AI17" s="141">
        <f t="shared" si="0"/>
        <v>217.21551580048779</v>
      </c>
      <c r="AJ17" s="141">
        <f t="shared" si="0"/>
        <v>217.21551580048779</v>
      </c>
      <c r="AK17" s="141">
        <f t="shared" si="0"/>
        <v>217.21551580048779</v>
      </c>
      <c r="AL17" s="141">
        <f t="shared" si="0"/>
        <v>217.21551580048779</v>
      </c>
      <c r="AM17" s="141">
        <f t="shared" si="0"/>
        <v>217.21551580048779</v>
      </c>
      <c r="AN17" s="141">
        <f t="shared" si="0"/>
        <v>217.21551580048779</v>
      </c>
      <c r="AO17" s="141">
        <f t="shared" si="0"/>
        <v>217.21551580048779</v>
      </c>
      <c r="AP17" s="141">
        <f t="shared" si="0"/>
        <v>217.21551580048779</v>
      </c>
      <c r="AQ17" s="141">
        <f t="shared" si="0"/>
        <v>217.21551580048779</v>
      </c>
      <c r="AR17" s="141">
        <f t="shared" si="0"/>
        <v>217.21551580048779</v>
      </c>
      <c r="AS17" s="141">
        <f t="shared" si="0"/>
        <v>217.21551580048779</v>
      </c>
      <c r="AT17" s="141">
        <f t="shared" si="0"/>
        <v>217.21551580048779</v>
      </c>
      <c r="AU17" s="141">
        <f t="shared" si="0"/>
        <v>217.21551580048779</v>
      </c>
      <c r="AV17" s="141">
        <f t="shared" si="0"/>
        <v>217.21551580048779</v>
      </c>
      <c r="AW17" s="141">
        <f t="shared" si="0"/>
        <v>217.21551580048779</v>
      </c>
      <c r="AX17" s="141">
        <f t="shared" si="0"/>
        <v>217.21551580048779</v>
      </c>
      <c r="AY17" s="141">
        <f t="shared" si="0"/>
        <v>217.21551580048779</v>
      </c>
      <c r="AZ17" s="141">
        <f t="shared" si="0"/>
        <v>217.21551580048779</v>
      </c>
      <c r="BA17" s="141">
        <f t="shared" si="0"/>
        <v>217.21551580048779</v>
      </c>
      <c r="BB17" s="141">
        <f t="shared" si="0"/>
        <v>217.21551580048779</v>
      </c>
      <c r="BC17" s="141">
        <f t="shared" si="0"/>
        <v>217.21551580048779</v>
      </c>
      <c r="BD17" s="141">
        <f t="shared" si="0"/>
        <v>217.21551580048779</v>
      </c>
      <c r="BE17" s="141">
        <f t="shared" si="0"/>
        <v>217.21551580048779</v>
      </c>
    </row>
    <row r="18" spans="3:57">
      <c r="C18" s="140"/>
      <c r="D18" s="16" t="s">
        <v>275</v>
      </c>
      <c r="E18" s="17"/>
      <c r="F18" s="17"/>
      <c r="G18" s="17"/>
      <c r="H18" s="141">
        <f>'Technical parameters PROD'!$C$11*'Technical parameters TEMP'!$C$16*('Cash-Flow Model GeoVision'!H12-('Technical parameters TEMP'!$C$12-273.15))*3600*24*365*('Economic parameters'!$C$7/8760)/10^12</f>
        <v>41.392619999999987</v>
      </c>
      <c r="I18" s="141">
        <f>'Technical parameters PROD'!$C$11*'Technical parameters TEMP'!$C$16*('Cash-Flow Model GeoVision'!I12-('Technical parameters TEMP'!$C$12-273.15))*3600*24*365*('Economic parameters'!$C$7/8760)/10^12</f>
        <v>41.392619999999987</v>
      </c>
      <c r="J18" s="141">
        <f>'Technical parameters PROD'!$C$11*'Technical parameters TEMP'!$C$16*('Cash-Flow Model GeoVision'!J12-('Technical parameters TEMP'!$C$12-273.15))*3600*24*365*('Economic parameters'!$C$7/8760)/10^12</f>
        <v>41.392619999999987</v>
      </c>
      <c r="K18" s="141">
        <f>'Technical parameters PROD'!$C$11*'Technical parameters TEMP'!$C$16*('Cash-Flow Model GeoVision'!K12-('Technical parameters TEMP'!$C$12-273.15))*3600*24*365*('Economic parameters'!$C$7/8760)/10^12</f>
        <v>41.392619999999987</v>
      </c>
      <c r="L18" s="141">
        <f>'Technical parameters PROD'!$C$11*'Technical parameters TEMP'!$C$16*('Cash-Flow Model GeoVision'!L12-('Technical parameters TEMP'!$C$12-273.15))*3600*24*365*('Economic parameters'!$C$7/8760)/10^12</f>
        <v>41.392619999999987</v>
      </c>
      <c r="M18" s="141">
        <f>'Technical parameters PROD'!$C$11*'Technical parameters TEMP'!$C$16*('Cash-Flow Model GeoVision'!M12-('Technical parameters TEMP'!$C$12-273.15))*3600*24*365*('Economic parameters'!$C$7/8760)/10^12</f>
        <v>41.392619999999987</v>
      </c>
      <c r="N18" s="141">
        <f>'Technical parameters PROD'!$C$11*'Technical parameters TEMP'!$C$16*('Cash-Flow Model GeoVision'!N12-('Technical parameters TEMP'!$C$12-273.15))*3600*24*365*('Economic parameters'!$C$7/8760)/10^12</f>
        <v>41.392619999999987</v>
      </c>
      <c r="O18" s="141">
        <f>'Technical parameters PROD'!$C$11*'Technical parameters TEMP'!$C$16*('Cash-Flow Model GeoVision'!O12-('Technical parameters TEMP'!$C$12-273.15))*3600*24*365*('Economic parameters'!$C$7/8760)/10^12</f>
        <v>41.392619999999987</v>
      </c>
      <c r="P18" s="141">
        <f>'Technical parameters PROD'!$C$11*'Technical parameters TEMP'!$C$16*('Cash-Flow Model GeoVision'!P12-('Technical parameters TEMP'!$C$12-273.15))*3600*24*365*('Economic parameters'!$C$7/8760)/10^12</f>
        <v>41.392619999999987</v>
      </c>
      <c r="Q18" s="141">
        <f>'Technical parameters PROD'!$C$11*'Technical parameters TEMP'!$C$16*('Cash-Flow Model GeoVision'!Q12-('Technical parameters TEMP'!$C$12-273.15))*3600*24*365*('Economic parameters'!$C$7/8760)/10^12</f>
        <v>41.392619999999987</v>
      </c>
      <c r="R18" s="141">
        <f>'Technical parameters PROD'!$C$11*'Technical parameters TEMP'!$C$16*('Cash-Flow Model GeoVision'!R12-('Technical parameters TEMP'!$C$12-273.15))*3600*24*365*('Economic parameters'!$C$7/8760)/10^12</f>
        <v>41.392619999999987</v>
      </c>
      <c r="S18" s="141">
        <f>'Technical parameters PROD'!$C$11*'Technical parameters TEMP'!$C$16*('Cash-Flow Model GeoVision'!S12-('Technical parameters TEMP'!$C$12-273.15))*3600*24*365*('Economic parameters'!$C$7/8760)/10^12</f>
        <v>41.392619999999987</v>
      </c>
      <c r="T18" s="141">
        <f>'Technical parameters PROD'!$C$11*'Technical parameters TEMP'!$C$16*('Cash-Flow Model GeoVision'!T12-('Technical parameters TEMP'!$C$12-273.15))*3600*24*365*('Economic parameters'!$C$7/8760)/10^12</f>
        <v>41.392619999999987</v>
      </c>
      <c r="U18" s="141">
        <f>'Technical parameters PROD'!$C$11*'Technical parameters TEMP'!$C$16*('Cash-Flow Model GeoVision'!U12-('Technical parameters TEMP'!$C$12-273.15))*3600*24*365*('Economic parameters'!$C$7/8760)/10^12</f>
        <v>41.392619999999987</v>
      </c>
      <c r="V18" s="141">
        <f>'Technical parameters PROD'!$C$11*'Technical parameters TEMP'!$C$16*('Cash-Flow Model GeoVision'!V12-('Technical parameters TEMP'!$C$12-273.15))*3600*24*365*('Economic parameters'!$C$7/8760)/10^12</f>
        <v>41.392619999999987</v>
      </c>
      <c r="W18" s="141">
        <f>'Technical parameters PROD'!$C$11*'Technical parameters TEMP'!$C$16*('Cash-Flow Model GeoVision'!W12-('Technical parameters TEMP'!$C$12-273.15))*3600*24*365*('Economic parameters'!$C$7/8760)/10^12</f>
        <v>41.392619999999987</v>
      </c>
      <c r="X18" s="141">
        <f>'Technical parameters PROD'!$C$11*'Technical parameters TEMP'!$C$16*('Cash-Flow Model GeoVision'!X12-('Technical parameters TEMP'!$C$12-273.15))*3600*24*365*('Economic parameters'!$C$7/8760)/10^12</f>
        <v>41.392619999999987</v>
      </c>
      <c r="Y18" s="141">
        <f>'Technical parameters PROD'!$C$11*'Technical parameters TEMP'!$C$16*('Cash-Flow Model GeoVision'!Y12-('Technical parameters TEMP'!$C$12-273.15))*3600*24*365*('Economic parameters'!$C$7/8760)/10^12</f>
        <v>41.392619999999987</v>
      </c>
      <c r="Z18" s="141">
        <f>'Technical parameters PROD'!$C$11*'Technical parameters TEMP'!$C$16*('Cash-Flow Model GeoVision'!Z12-('Technical parameters TEMP'!$C$12-273.15))*3600*24*365*('Economic parameters'!$C$7/8760)/10^12</f>
        <v>41.392619999999987</v>
      </c>
      <c r="AA18" s="141">
        <f>'Technical parameters PROD'!$C$11*'Technical parameters TEMP'!$C$16*('Cash-Flow Model GeoVision'!AA12-('Technical parameters TEMP'!$C$12-273.15))*3600*24*365*('Economic parameters'!$C$7/8760)/10^12</f>
        <v>41.392619999999987</v>
      </c>
      <c r="AB18" s="141">
        <f>'Technical parameters PROD'!$C$11*'Technical parameters TEMP'!$C$16*('Cash-Flow Model GeoVision'!AB12-('Technical parameters TEMP'!$C$12-273.15))*3600*24*365*('Economic parameters'!$C$7/8760)/10^12</f>
        <v>41.392619999999987</v>
      </c>
      <c r="AC18" s="141">
        <f>'Technical parameters PROD'!$C$11*'Technical parameters TEMP'!$C$16*('Cash-Flow Model GeoVision'!AC12-('Technical parameters TEMP'!$C$12-273.15))*3600*24*365*('Economic parameters'!$C$7/8760)/10^12</f>
        <v>41.392619999999987</v>
      </c>
      <c r="AD18" s="141">
        <f>'Technical parameters PROD'!$C$11*'Technical parameters TEMP'!$C$16*('Cash-Flow Model GeoVision'!AD12-('Technical parameters TEMP'!$C$12-273.15))*3600*24*365*('Economic parameters'!$C$7/8760)/10^12</f>
        <v>41.392619999999987</v>
      </c>
      <c r="AE18" s="141">
        <f>'Technical parameters PROD'!$C$11*'Technical parameters TEMP'!$C$16*('Cash-Flow Model GeoVision'!AE12-('Technical parameters TEMP'!$C$12-273.15))*3600*24*365*('Economic parameters'!$C$7/8760)/10^12</f>
        <v>41.392619999999987</v>
      </c>
      <c r="AF18" s="141">
        <f>'Technical parameters PROD'!$C$11*'Technical parameters TEMP'!$C$16*('Cash-Flow Model GeoVision'!AF12-('Technical parameters TEMP'!$C$12-273.15))*3600*24*365*('Economic parameters'!$C$7/8760)/10^12</f>
        <v>41.392619999999987</v>
      </c>
      <c r="AG18" s="141">
        <f>'Technical parameters PROD'!$C$11*'Technical parameters TEMP'!$C$16*('Cash-Flow Model GeoVision'!AG12-('Technical parameters TEMP'!$C$12-273.15))*3600*24*365*('Economic parameters'!$C$7/8760)/10^12</f>
        <v>41.392619999999987</v>
      </c>
      <c r="AH18" s="141">
        <f>'Technical parameters PROD'!$C$11*'Technical parameters TEMP'!$C$16*('Cash-Flow Model GeoVision'!AH12-('Technical parameters TEMP'!$C$12-273.15))*3600*24*365*('Economic parameters'!$C$7/8760)/10^12</f>
        <v>41.392619999999987</v>
      </c>
      <c r="AI18" s="141">
        <f>'Technical parameters PROD'!$C$11*'Technical parameters TEMP'!$C$16*('Cash-Flow Model GeoVision'!AI12-('Technical parameters TEMP'!$C$12-273.15))*3600*24*365*('Economic parameters'!$C$7/8760)/10^12</f>
        <v>41.392619999999987</v>
      </c>
      <c r="AJ18" s="141">
        <f>'Technical parameters PROD'!$C$11*'Technical parameters TEMP'!$C$16*('Cash-Flow Model GeoVision'!AJ12-('Technical parameters TEMP'!$C$12-273.15))*3600*24*365*('Economic parameters'!$C$7/8760)/10^12</f>
        <v>41.392619999999987</v>
      </c>
      <c r="AK18" s="141">
        <f>'Technical parameters PROD'!$C$11*'Technical parameters TEMP'!$C$16*('Cash-Flow Model GeoVision'!AK12-('Technical parameters TEMP'!$C$12-273.15))*3600*24*365*('Economic parameters'!$C$7/8760)/10^12</f>
        <v>41.392619999999987</v>
      </c>
      <c r="AL18" s="141">
        <f>'Technical parameters PROD'!$C$11*'Technical parameters TEMP'!$C$16*('Cash-Flow Model GeoVision'!AL12-('Technical parameters TEMP'!$C$12-273.15))*3600*24*365*('Economic parameters'!$C$7/8760)/10^12</f>
        <v>41.392619999999987</v>
      </c>
      <c r="AM18" s="141">
        <f>'Technical parameters PROD'!$C$11*'Technical parameters TEMP'!$C$16*('Cash-Flow Model GeoVision'!AM12-('Technical parameters TEMP'!$C$12-273.15))*3600*24*365*('Economic parameters'!$C$7/8760)/10^12</f>
        <v>41.392619999999987</v>
      </c>
      <c r="AN18" s="141">
        <f>'Technical parameters PROD'!$C$11*'Technical parameters TEMP'!$C$16*('Cash-Flow Model GeoVision'!AN12-('Technical parameters TEMP'!$C$12-273.15))*3600*24*365*('Economic parameters'!$C$7/8760)/10^12</f>
        <v>41.392619999999987</v>
      </c>
      <c r="AO18" s="141">
        <f>'Technical parameters PROD'!$C$11*'Technical parameters TEMP'!$C$16*('Cash-Flow Model GeoVision'!AO12-('Technical parameters TEMP'!$C$12-273.15))*3600*24*365*('Economic parameters'!$C$7/8760)/10^12</f>
        <v>41.392619999999987</v>
      </c>
      <c r="AP18" s="141">
        <f>'Technical parameters PROD'!$C$11*'Technical parameters TEMP'!$C$16*('Cash-Flow Model GeoVision'!AP12-('Technical parameters TEMP'!$C$12-273.15))*3600*24*365*('Economic parameters'!$C$7/8760)/10^12</f>
        <v>41.392619999999987</v>
      </c>
      <c r="AQ18" s="141">
        <f>'Technical parameters PROD'!$C$11*'Technical parameters TEMP'!$C$16*('Cash-Flow Model GeoVision'!AQ12-('Technical parameters TEMP'!$C$12-273.15))*3600*24*365*('Economic parameters'!$C$7/8760)/10^12</f>
        <v>41.392619999999987</v>
      </c>
      <c r="AR18" s="141">
        <f>'Technical parameters PROD'!$C$11*'Technical parameters TEMP'!$C$16*('Cash-Flow Model GeoVision'!AR12-('Technical parameters TEMP'!$C$12-273.15))*3600*24*365*('Economic parameters'!$C$7/8760)/10^12</f>
        <v>41.392619999999987</v>
      </c>
      <c r="AS18" s="141">
        <f>'Technical parameters PROD'!$C$11*'Technical parameters TEMP'!$C$16*('Cash-Flow Model GeoVision'!AS12-('Technical parameters TEMP'!$C$12-273.15))*3600*24*365*('Economic parameters'!$C$7/8760)/10^12</f>
        <v>41.392619999999987</v>
      </c>
      <c r="AT18" s="141">
        <f>'Technical parameters PROD'!$C$11*'Technical parameters TEMP'!$C$16*('Cash-Flow Model GeoVision'!AT12-('Technical parameters TEMP'!$C$12-273.15))*3600*24*365*('Economic parameters'!$C$7/8760)/10^12</f>
        <v>41.392619999999987</v>
      </c>
      <c r="AU18" s="141">
        <f>'Technical parameters PROD'!$C$11*'Technical parameters TEMP'!$C$16*('Cash-Flow Model GeoVision'!AU12-('Technical parameters TEMP'!$C$12-273.15))*3600*24*365*('Economic parameters'!$C$7/8760)/10^12</f>
        <v>41.392619999999987</v>
      </c>
      <c r="AV18" s="141">
        <f>'Technical parameters PROD'!$C$11*'Technical parameters TEMP'!$C$16*('Cash-Flow Model GeoVision'!AV12-('Technical parameters TEMP'!$C$12-273.15))*3600*24*365*('Economic parameters'!$C$7/8760)/10^12</f>
        <v>41.392619999999987</v>
      </c>
      <c r="AW18" s="141">
        <f>'Technical parameters PROD'!$C$11*'Technical parameters TEMP'!$C$16*('Cash-Flow Model GeoVision'!AW12-('Technical parameters TEMP'!$C$12-273.15))*3600*24*365*('Economic parameters'!$C$7/8760)/10^12</f>
        <v>41.392619999999987</v>
      </c>
      <c r="AX18" s="141">
        <f>'Technical parameters PROD'!$C$11*'Technical parameters TEMP'!$C$16*('Cash-Flow Model GeoVision'!AX12-('Technical parameters TEMP'!$C$12-273.15))*3600*24*365*('Economic parameters'!$C$7/8760)/10^12</f>
        <v>41.392619999999987</v>
      </c>
      <c r="AY18" s="141">
        <f>'Technical parameters PROD'!$C$11*'Technical parameters TEMP'!$C$16*('Cash-Flow Model GeoVision'!AY12-('Technical parameters TEMP'!$C$12-273.15))*3600*24*365*('Economic parameters'!$C$7/8760)/10^12</f>
        <v>41.392619999999987</v>
      </c>
      <c r="AZ18" s="141">
        <f>'Technical parameters PROD'!$C$11*'Technical parameters TEMP'!$C$16*('Cash-Flow Model GeoVision'!AZ12-('Technical parameters TEMP'!$C$12-273.15))*3600*24*365*('Economic parameters'!$C$7/8760)/10^12</f>
        <v>41.392619999999987</v>
      </c>
      <c r="BA18" s="141">
        <f>'Technical parameters PROD'!$C$11*'Technical parameters TEMP'!$C$16*('Cash-Flow Model GeoVision'!BA12-('Technical parameters TEMP'!$C$12-273.15))*3600*24*365*('Economic parameters'!$C$7/8760)/10^12</f>
        <v>41.392619999999987</v>
      </c>
      <c r="BB18" s="141">
        <f>'Technical parameters PROD'!$C$11*'Technical parameters TEMP'!$C$16*('Cash-Flow Model GeoVision'!BB12-('Technical parameters TEMP'!$C$12-273.15))*3600*24*365*('Economic parameters'!$C$7/8760)/10^12</f>
        <v>41.392619999999987</v>
      </c>
      <c r="BC18" s="141">
        <f>'Technical parameters PROD'!$C$11*'Technical parameters TEMP'!$C$16*('Cash-Flow Model GeoVision'!BC12-('Technical parameters TEMP'!$C$12-273.15))*3600*24*365*('Economic parameters'!$C$7/8760)/10^12</f>
        <v>41.392619999999987</v>
      </c>
      <c r="BD18" s="141">
        <f>'Technical parameters PROD'!$C$11*'Technical parameters TEMP'!$C$16*('Cash-Flow Model GeoVision'!BD12-('Technical parameters TEMP'!$C$12-273.15))*3600*24*365*('Economic parameters'!$C$7/8760)/10^12</f>
        <v>41.392619999999987</v>
      </c>
      <c r="BE18" s="141">
        <f>'Technical parameters PROD'!$C$11*'Technical parameters TEMP'!$C$16*('Cash-Flow Model GeoVision'!BE12-('Technical parameters TEMP'!$C$12-273.15))*3600*24*365*('Economic parameters'!$C$7/8760)/10^12</f>
        <v>41.392619999999987</v>
      </c>
    </row>
    <row r="19" spans="3:57">
      <c r="C19" s="88"/>
      <c r="D19" s="20" t="s">
        <v>274</v>
      </c>
      <c r="H19" s="142">
        <f>IF(H17="n/a",0,H17/(H17+H18))</f>
        <v>0.83994076647327998</v>
      </c>
      <c r="I19" s="142">
        <f t="shared" ref="I19:BE19" si="1">IF(I17="n/a",0,I17/(I17+I18))</f>
        <v>0.83994076647327998</v>
      </c>
      <c r="J19" s="142">
        <f t="shared" si="1"/>
        <v>0.83994076647327998</v>
      </c>
      <c r="K19" s="142">
        <f t="shared" si="1"/>
        <v>0.83994076647327998</v>
      </c>
      <c r="L19" s="142">
        <f t="shared" si="1"/>
        <v>0.83994076647327998</v>
      </c>
      <c r="M19" s="142">
        <f t="shared" si="1"/>
        <v>0.83994076647327998</v>
      </c>
      <c r="N19" s="142">
        <f t="shared" si="1"/>
        <v>0.83994076647327998</v>
      </c>
      <c r="O19" s="142">
        <f t="shared" si="1"/>
        <v>0.83994076647327998</v>
      </c>
      <c r="P19" s="142">
        <f t="shared" si="1"/>
        <v>0.83994076647327998</v>
      </c>
      <c r="Q19" s="142">
        <f t="shared" si="1"/>
        <v>0.83994076647327998</v>
      </c>
      <c r="R19" s="142">
        <f t="shared" si="1"/>
        <v>0.83994076647327998</v>
      </c>
      <c r="S19" s="142">
        <f t="shared" si="1"/>
        <v>0.83994076647327998</v>
      </c>
      <c r="T19" s="142">
        <f t="shared" si="1"/>
        <v>0.83994076647327998</v>
      </c>
      <c r="U19" s="142">
        <f t="shared" si="1"/>
        <v>0.83994076647327998</v>
      </c>
      <c r="V19" s="142">
        <f t="shared" si="1"/>
        <v>0.83994076647327998</v>
      </c>
      <c r="W19" s="142">
        <f t="shared" si="1"/>
        <v>0.83994076647327998</v>
      </c>
      <c r="X19" s="142">
        <f t="shared" si="1"/>
        <v>0.83994076647327998</v>
      </c>
      <c r="Y19" s="142">
        <f t="shared" si="1"/>
        <v>0.83994076647327998</v>
      </c>
      <c r="Z19" s="142">
        <f t="shared" si="1"/>
        <v>0.83994076647327998</v>
      </c>
      <c r="AA19" s="142">
        <f t="shared" si="1"/>
        <v>0.83994076647327998</v>
      </c>
      <c r="AB19" s="142">
        <f t="shared" si="1"/>
        <v>0.83994076647327998</v>
      </c>
      <c r="AC19" s="142">
        <f t="shared" si="1"/>
        <v>0.83994076647327998</v>
      </c>
      <c r="AD19" s="142">
        <f t="shared" si="1"/>
        <v>0.83994076647327998</v>
      </c>
      <c r="AE19" s="142">
        <f t="shared" si="1"/>
        <v>0.83994076647327998</v>
      </c>
      <c r="AF19" s="142">
        <f t="shared" si="1"/>
        <v>0.83994076647327998</v>
      </c>
      <c r="AG19" s="142">
        <f t="shared" si="1"/>
        <v>0.83994076647327998</v>
      </c>
      <c r="AH19" s="142">
        <f t="shared" si="1"/>
        <v>0.83994076647327998</v>
      </c>
      <c r="AI19" s="142">
        <f t="shared" si="1"/>
        <v>0.83994076647327998</v>
      </c>
      <c r="AJ19" s="142">
        <f t="shared" si="1"/>
        <v>0.83994076647327998</v>
      </c>
      <c r="AK19" s="142">
        <f t="shared" si="1"/>
        <v>0.83994076647327998</v>
      </c>
      <c r="AL19" s="142">
        <f t="shared" si="1"/>
        <v>0.83994076647327998</v>
      </c>
      <c r="AM19" s="142">
        <f t="shared" si="1"/>
        <v>0.83994076647327998</v>
      </c>
      <c r="AN19" s="142">
        <f t="shared" si="1"/>
        <v>0.83994076647327998</v>
      </c>
      <c r="AO19" s="142">
        <f t="shared" si="1"/>
        <v>0.83994076647327998</v>
      </c>
      <c r="AP19" s="142">
        <f t="shared" si="1"/>
        <v>0.83994076647327998</v>
      </c>
      <c r="AQ19" s="142">
        <f t="shared" si="1"/>
        <v>0.83994076647327998</v>
      </c>
      <c r="AR19" s="142">
        <f t="shared" si="1"/>
        <v>0.83994076647327998</v>
      </c>
      <c r="AS19" s="142">
        <f t="shared" si="1"/>
        <v>0.83994076647327998</v>
      </c>
      <c r="AT19" s="142">
        <f t="shared" si="1"/>
        <v>0.83994076647327998</v>
      </c>
      <c r="AU19" s="142">
        <f t="shared" si="1"/>
        <v>0.83994076647327998</v>
      </c>
      <c r="AV19" s="142">
        <f t="shared" si="1"/>
        <v>0.83994076647327998</v>
      </c>
      <c r="AW19" s="142">
        <f t="shared" si="1"/>
        <v>0.83994076647327998</v>
      </c>
      <c r="AX19" s="142">
        <f t="shared" si="1"/>
        <v>0.83994076647327998</v>
      </c>
      <c r="AY19" s="142">
        <f t="shared" si="1"/>
        <v>0.83994076647327998</v>
      </c>
      <c r="AZ19" s="142">
        <f t="shared" si="1"/>
        <v>0.83994076647327998</v>
      </c>
      <c r="BA19" s="142">
        <f t="shared" si="1"/>
        <v>0.83994076647327998</v>
      </c>
      <c r="BB19" s="142">
        <f t="shared" si="1"/>
        <v>0.83994076647327998</v>
      </c>
      <c r="BC19" s="142">
        <f t="shared" si="1"/>
        <v>0.83994076647327998</v>
      </c>
      <c r="BD19" s="142">
        <f t="shared" si="1"/>
        <v>0.83994076647327998</v>
      </c>
      <c r="BE19" s="142">
        <f t="shared" si="1"/>
        <v>0.83994076647327998</v>
      </c>
    </row>
    <row r="20" spans="3:57">
      <c r="C20" s="88"/>
      <c r="D20" s="20" t="s">
        <v>247</v>
      </c>
      <c r="H20" s="142">
        <f>H18/(H18+H17)</f>
        <v>0.16005923352671997</v>
      </c>
      <c r="I20" s="142">
        <f t="shared" ref="I20:BE20" si="2">I18/(I18+I17)</f>
        <v>0.16005923352671997</v>
      </c>
      <c r="J20" s="142">
        <f t="shared" si="2"/>
        <v>0.16005923352671997</v>
      </c>
      <c r="K20" s="142">
        <f t="shared" si="2"/>
        <v>0.16005923352671997</v>
      </c>
      <c r="L20" s="142">
        <f t="shared" si="2"/>
        <v>0.16005923352671997</v>
      </c>
      <c r="M20" s="142">
        <f t="shared" si="2"/>
        <v>0.16005923352671997</v>
      </c>
      <c r="N20" s="142">
        <f t="shared" si="2"/>
        <v>0.16005923352671997</v>
      </c>
      <c r="O20" s="142">
        <f t="shared" si="2"/>
        <v>0.16005923352671997</v>
      </c>
      <c r="P20" s="142">
        <f t="shared" si="2"/>
        <v>0.16005923352671997</v>
      </c>
      <c r="Q20" s="142">
        <f t="shared" si="2"/>
        <v>0.16005923352671997</v>
      </c>
      <c r="R20" s="142">
        <f t="shared" si="2"/>
        <v>0.16005923352671997</v>
      </c>
      <c r="S20" s="142">
        <f t="shared" si="2"/>
        <v>0.16005923352671997</v>
      </c>
      <c r="T20" s="142">
        <f t="shared" si="2"/>
        <v>0.16005923352671997</v>
      </c>
      <c r="U20" s="142">
        <f t="shared" si="2"/>
        <v>0.16005923352671997</v>
      </c>
      <c r="V20" s="142">
        <f t="shared" si="2"/>
        <v>0.16005923352671997</v>
      </c>
      <c r="W20" s="142">
        <f t="shared" si="2"/>
        <v>0.16005923352671997</v>
      </c>
      <c r="X20" s="142">
        <f t="shared" si="2"/>
        <v>0.16005923352671997</v>
      </c>
      <c r="Y20" s="142">
        <f t="shared" si="2"/>
        <v>0.16005923352671997</v>
      </c>
      <c r="Z20" s="142">
        <f t="shared" si="2"/>
        <v>0.16005923352671997</v>
      </c>
      <c r="AA20" s="142">
        <f t="shared" si="2"/>
        <v>0.16005923352671997</v>
      </c>
      <c r="AB20" s="142">
        <f t="shared" si="2"/>
        <v>0.16005923352671997</v>
      </c>
      <c r="AC20" s="142">
        <f t="shared" si="2"/>
        <v>0.16005923352671997</v>
      </c>
      <c r="AD20" s="142">
        <f t="shared" si="2"/>
        <v>0.16005923352671997</v>
      </c>
      <c r="AE20" s="142">
        <f t="shared" si="2"/>
        <v>0.16005923352671997</v>
      </c>
      <c r="AF20" s="142">
        <f t="shared" si="2"/>
        <v>0.16005923352671997</v>
      </c>
      <c r="AG20" s="142">
        <f t="shared" si="2"/>
        <v>0.16005923352671997</v>
      </c>
      <c r="AH20" s="142">
        <f t="shared" si="2"/>
        <v>0.16005923352671997</v>
      </c>
      <c r="AI20" s="142">
        <f t="shared" si="2"/>
        <v>0.16005923352671997</v>
      </c>
      <c r="AJ20" s="142">
        <f t="shared" si="2"/>
        <v>0.16005923352671997</v>
      </c>
      <c r="AK20" s="142">
        <f t="shared" si="2"/>
        <v>0.16005923352671997</v>
      </c>
      <c r="AL20" s="142">
        <f t="shared" si="2"/>
        <v>0.16005923352671997</v>
      </c>
      <c r="AM20" s="142">
        <f t="shared" si="2"/>
        <v>0.16005923352671997</v>
      </c>
      <c r="AN20" s="142">
        <f t="shared" si="2"/>
        <v>0.16005923352671997</v>
      </c>
      <c r="AO20" s="142">
        <f t="shared" si="2"/>
        <v>0.16005923352671997</v>
      </c>
      <c r="AP20" s="142">
        <f t="shared" si="2"/>
        <v>0.16005923352671997</v>
      </c>
      <c r="AQ20" s="142">
        <f t="shared" si="2"/>
        <v>0.16005923352671997</v>
      </c>
      <c r="AR20" s="142">
        <f t="shared" si="2"/>
        <v>0.16005923352671997</v>
      </c>
      <c r="AS20" s="142">
        <f t="shared" si="2"/>
        <v>0.16005923352671997</v>
      </c>
      <c r="AT20" s="142">
        <f t="shared" si="2"/>
        <v>0.16005923352671997</v>
      </c>
      <c r="AU20" s="142">
        <f t="shared" si="2"/>
        <v>0.16005923352671997</v>
      </c>
      <c r="AV20" s="142">
        <f t="shared" si="2"/>
        <v>0.16005923352671997</v>
      </c>
      <c r="AW20" s="142">
        <f t="shared" si="2"/>
        <v>0.16005923352671997</v>
      </c>
      <c r="AX20" s="142">
        <f t="shared" si="2"/>
        <v>0.16005923352671997</v>
      </c>
      <c r="AY20" s="142">
        <f t="shared" si="2"/>
        <v>0.16005923352671997</v>
      </c>
      <c r="AZ20" s="142">
        <f t="shared" si="2"/>
        <v>0.16005923352671997</v>
      </c>
      <c r="BA20" s="142">
        <f t="shared" si="2"/>
        <v>0.16005923352671997</v>
      </c>
      <c r="BB20" s="142">
        <f t="shared" si="2"/>
        <v>0.16005923352671997</v>
      </c>
      <c r="BC20" s="142">
        <f t="shared" si="2"/>
        <v>0.16005923352671997</v>
      </c>
      <c r="BD20" s="142">
        <f t="shared" si="2"/>
        <v>0.16005923352671997</v>
      </c>
      <c r="BE20" s="142">
        <f t="shared" si="2"/>
        <v>0.16005923352671997</v>
      </c>
    </row>
    <row r="21" spans="3:57">
      <c r="C21" s="88"/>
      <c r="D21" s="20"/>
      <c r="H21" s="89"/>
      <c r="I21" s="89"/>
      <c r="J21" s="89"/>
      <c r="K21" s="89"/>
      <c r="L21" s="89"/>
      <c r="M21" s="89"/>
      <c r="N21" s="89"/>
      <c r="O21" s="89"/>
      <c r="P21" s="89"/>
      <c r="Q21" s="89"/>
      <c r="R21" s="89"/>
      <c r="S21" s="89"/>
      <c r="T21" s="89"/>
      <c r="U21" s="89"/>
      <c r="V21" s="89"/>
      <c r="W21" s="89"/>
      <c r="X21" s="89"/>
      <c r="Y21" s="89"/>
      <c r="Z21" s="89"/>
      <c r="AA21" s="89"/>
      <c r="AB21" s="89"/>
      <c r="AC21" s="89"/>
      <c r="AD21" s="89"/>
      <c r="AE21" s="89"/>
      <c r="AF21" s="89"/>
      <c r="AG21" s="89"/>
      <c r="AH21" s="89"/>
      <c r="AI21" s="89"/>
      <c r="AJ21" s="89"/>
      <c r="AK21" s="89"/>
      <c r="AL21" s="89"/>
      <c r="AM21" s="89"/>
      <c r="AN21" s="89"/>
      <c r="AO21" s="89"/>
      <c r="AP21" s="89"/>
      <c r="AQ21" s="89"/>
      <c r="AR21" s="89"/>
      <c r="AS21" s="89"/>
      <c r="AT21" s="89"/>
      <c r="AU21" s="89"/>
      <c r="AV21" s="89"/>
      <c r="AW21" s="89"/>
      <c r="AX21" s="89"/>
      <c r="AY21" s="89"/>
      <c r="AZ21" s="89"/>
      <c r="BA21" s="89"/>
      <c r="BB21" s="89"/>
      <c r="BC21" s="89"/>
      <c r="BD21" s="89"/>
      <c r="BE21" s="89"/>
    </row>
    <row r="22" spans="3:57" ht="7.35" customHeight="1">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row>
    <row r="23" spans="3:57">
      <c r="C23" s="406" t="s">
        <v>147</v>
      </c>
      <c r="D23" s="44" t="s">
        <v>243</v>
      </c>
      <c r="E23" s="45"/>
      <c r="F23" s="45"/>
      <c r="G23" s="45"/>
      <c r="H23" s="45">
        <f>'Economic parameters'!$C$32</f>
        <v>0.25</v>
      </c>
      <c r="I23" s="45">
        <f>'Economic parameters'!$C$32</f>
        <v>0.25</v>
      </c>
      <c r="J23" s="45">
        <f>'Economic parameters'!$C$32</f>
        <v>0.25</v>
      </c>
      <c r="K23" s="45">
        <f>'Economic parameters'!$C$32</f>
        <v>0.25</v>
      </c>
      <c r="L23" s="45">
        <f>'Economic parameters'!$C$32</f>
        <v>0.25</v>
      </c>
      <c r="M23" s="45">
        <f>'Economic parameters'!$C$32</f>
        <v>0.25</v>
      </c>
      <c r="N23" s="45">
        <f>'Economic parameters'!$C$32</f>
        <v>0.25</v>
      </c>
      <c r="O23" s="45">
        <f>'Economic parameters'!$C$32</f>
        <v>0.25</v>
      </c>
      <c r="P23" s="45">
        <f>'Economic parameters'!$C$32</f>
        <v>0.25</v>
      </c>
      <c r="Q23" s="45">
        <f>'Economic parameters'!$C$32</f>
        <v>0.25</v>
      </c>
      <c r="R23" s="45">
        <f>'Economic parameters'!$C$32</f>
        <v>0.25</v>
      </c>
      <c r="S23" s="45">
        <f>'Economic parameters'!$C$32</f>
        <v>0.25</v>
      </c>
      <c r="T23" s="45">
        <f>'Economic parameters'!$C$32</f>
        <v>0.25</v>
      </c>
      <c r="U23" s="45">
        <f>'Economic parameters'!$C$32</f>
        <v>0.25</v>
      </c>
      <c r="V23" s="45">
        <f>'Economic parameters'!$C$32</f>
        <v>0.25</v>
      </c>
      <c r="W23" s="45">
        <f>'Economic parameters'!$C$32</f>
        <v>0.25</v>
      </c>
      <c r="X23" s="45">
        <f>'Economic parameters'!$C$32</f>
        <v>0.25</v>
      </c>
      <c r="Y23" s="45">
        <f>'Economic parameters'!$C$32</f>
        <v>0.25</v>
      </c>
      <c r="Z23" s="45">
        <f>'Economic parameters'!$C$32</f>
        <v>0.25</v>
      </c>
      <c r="AA23" s="45">
        <f>'Economic parameters'!$C$32</f>
        <v>0.25</v>
      </c>
      <c r="AB23" s="45">
        <f>'Economic parameters'!$C$32</f>
        <v>0.25</v>
      </c>
      <c r="AC23" s="45">
        <f>'Economic parameters'!$C$32</f>
        <v>0.25</v>
      </c>
      <c r="AD23" s="45">
        <f>'Economic parameters'!$C$32</f>
        <v>0.25</v>
      </c>
      <c r="AE23" s="45">
        <f>'Economic parameters'!$C$32</f>
        <v>0.25</v>
      </c>
      <c r="AF23" s="45">
        <f>'Economic parameters'!$C$32</f>
        <v>0.25</v>
      </c>
      <c r="AG23" s="45">
        <f>'Economic parameters'!$C$32</f>
        <v>0.25</v>
      </c>
      <c r="AH23" s="45">
        <f>'Economic parameters'!$C$32</f>
        <v>0.25</v>
      </c>
      <c r="AI23" s="45">
        <f>'Economic parameters'!$C$32</f>
        <v>0.25</v>
      </c>
      <c r="AJ23" s="45">
        <f>'Economic parameters'!$C$32</f>
        <v>0.25</v>
      </c>
      <c r="AK23" s="45">
        <f>'Economic parameters'!$C$32</f>
        <v>0.25</v>
      </c>
      <c r="AL23" s="45">
        <f>'Economic parameters'!$C$32</f>
        <v>0.25</v>
      </c>
      <c r="AM23" s="45">
        <f>'Economic parameters'!$C$32</f>
        <v>0.25</v>
      </c>
      <c r="AN23" s="45">
        <f>'Economic parameters'!$C$32</f>
        <v>0.25</v>
      </c>
      <c r="AO23" s="45">
        <f>'Economic parameters'!$C$32</f>
        <v>0.25</v>
      </c>
      <c r="AP23" s="45">
        <f>'Economic parameters'!$C$32</f>
        <v>0.25</v>
      </c>
      <c r="AQ23" s="45">
        <f>'Economic parameters'!$C$32</f>
        <v>0.25</v>
      </c>
      <c r="AR23" s="45">
        <f>'Economic parameters'!$C$32</f>
        <v>0.25</v>
      </c>
      <c r="AS23" s="45">
        <f>'Economic parameters'!$C$32</f>
        <v>0.25</v>
      </c>
      <c r="AT23" s="45">
        <f>'Economic parameters'!$C$32</f>
        <v>0.25</v>
      </c>
      <c r="AU23" s="45">
        <f>'Economic parameters'!$C$32</f>
        <v>0.25</v>
      </c>
      <c r="AV23" s="45">
        <f>'Economic parameters'!$C$32</f>
        <v>0.25</v>
      </c>
      <c r="AW23" s="45">
        <f>'Economic parameters'!$C$32</f>
        <v>0.25</v>
      </c>
      <c r="AX23" s="45">
        <f>'Economic parameters'!$C$32</f>
        <v>0.25</v>
      </c>
      <c r="AY23" s="45">
        <f>'Economic parameters'!$C$32</f>
        <v>0.25</v>
      </c>
      <c r="AZ23" s="45">
        <f>'Economic parameters'!$C$32</f>
        <v>0.25</v>
      </c>
      <c r="BA23" s="45">
        <f>'Economic parameters'!$C$32</f>
        <v>0.25</v>
      </c>
      <c r="BB23" s="45">
        <f>'Economic parameters'!$C$32</f>
        <v>0.25</v>
      </c>
      <c r="BC23" s="45">
        <f>'Economic parameters'!$C$32</f>
        <v>0.25</v>
      </c>
      <c r="BD23" s="45">
        <f>'Economic parameters'!$C$32</f>
        <v>0.25</v>
      </c>
      <c r="BE23" s="45">
        <f>'Economic parameters'!$C$32</f>
        <v>0.25</v>
      </c>
    </row>
    <row r="24" spans="3:57" ht="14.7" customHeight="1">
      <c r="C24" s="406"/>
      <c r="D24" s="44" t="s">
        <v>145</v>
      </c>
      <c r="E24" s="45"/>
      <c r="F24" s="45"/>
      <c r="G24" s="45"/>
      <c r="H24" s="46">
        <f>IF(H15="n/a","n/a",H15*1000*H23)</f>
        <v>2262869.4473978784</v>
      </c>
      <c r="I24" s="46">
        <f t="shared" ref="I24:BE24" si="3">IF(I15="n/a","n/a",I15*1000*I23)</f>
        <v>2262869.4473978784</v>
      </c>
      <c r="J24" s="46">
        <f t="shared" si="3"/>
        <v>2262869.4473978784</v>
      </c>
      <c r="K24" s="46">
        <f t="shared" si="3"/>
        <v>2262869.4473978784</v>
      </c>
      <c r="L24" s="46">
        <f t="shared" si="3"/>
        <v>2262869.4473978784</v>
      </c>
      <c r="M24" s="46">
        <f t="shared" si="3"/>
        <v>2262869.4473978784</v>
      </c>
      <c r="N24" s="46">
        <f t="shared" si="3"/>
        <v>2262869.4473978784</v>
      </c>
      <c r="O24" s="46">
        <f t="shared" si="3"/>
        <v>2262869.4473978784</v>
      </c>
      <c r="P24" s="46">
        <f t="shared" si="3"/>
        <v>2262869.4473978784</v>
      </c>
      <c r="Q24" s="46">
        <f t="shared" si="3"/>
        <v>2262869.4473978784</v>
      </c>
      <c r="R24" s="46">
        <f t="shared" si="3"/>
        <v>2262869.4473978784</v>
      </c>
      <c r="S24" s="46">
        <f t="shared" si="3"/>
        <v>2262869.4473978784</v>
      </c>
      <c r="T24" s="46">
        <f t="shared" si="3"/>
        <v>2262869.4473978784</v>
      </c>
      <c r="U24" s="46">
        <f t="shared" si="3"/>
        <v>2262869.4473978784</v>
      </c>
      <c r="V24" s="46">
        <f t="shared" si="3"/>
        <v>2262869.4473978784</v>
      </c>
      <c r="W24" s="46">
        <f t="shared" si="3"/>
        <v>2262869.4473978784</v>
      </c>
      <c r="X24" s="46">
        <f t="shared" si="3"/>
        <v>2262869.4473978784</v>
      </c>
      <c r="Y24" s="46">
        <f t="shared" si="3"/>
        <v>2262869.4473978784</v>
      </c>
      <c r="Z24" s="46">
        <f t="shared" si="3"/>
        <v>2262869.4473978784</v>
      </c>
      <c r="AA24" s="46">
        <f t="shared" si="3"/>
        <v>2262869.4473978784</v>
      </c>
      <c r="AB24" s="46">
        <f t="shared" si="3"/>
        <v>2262869.4473978784</v>
      </c>
      <c r="AC24" s="46">
        <f t="shared" si="3"/>
        <v>2262869.4473978784</v>
      </c>
      <c r="AD24" s="46">
        <f t="shared" si="3"/>
        <v>2262869.4473978784</v>
      </c>
      <c r="AE24" s="46">
        <f t="shared" si="3"/>
        <v>2262869.4473978784</v>
      </c>
      <c r="AF24" s="46">
        <f t="shared" si="3"/>
        <v>2262869.4473978784</v>
      </c>
      <c r="AG24" s="46">
        <f t="shared" si="3"/>
        <v>2262869.4473978784</v>
      </c>
      <c r="AH24" s="46">
        <f t="shared" si="3"/>
        <v>2262869.4473978784</v>
      </c>
      <c r="AI24" s="46">
        <f t="shared" si="3"/>
        <v>2262869.4473978784</v>
      </c>
      <c r="AJ24" s="46">
        <f t="shared" si="3"/>
        <v>2262869.4473978784</v>
      </c>
      <c r="AK24" s="46">
        <f t="shared" si="3"/>
        <v>2262869.4473978784</v>
      </c>
      <c r="AL24" s="46">
        <f t="shared" si="3"/>
        <v>2262869.4473978784</v>
      </c>
      <c r="AM24" s="46">
        <f t="shared" si="3"/>
        <v>2262869.4473978784</v>
      </c>
      <c r="AN24" s="46">
        <f t="shared" si="3"/>
        <v>2262869.4473978784</v>
      </c>
      <c r="AO24" s="46">
        <f t="shared" si="3"/>
        <v>2262869.4473978784</v>
      </c>
      <c r="AP24" s="46">
        <f t="shared" si="3"/>
        <v>2262869.4473978784</v>
      </c>
      <c r="AQ24" s="46">
        <f t="shared" si="3"/>
        <v>2262869.4473978784</v>
      </c>
      <c r="AR24" s="46">
        <f t="shared" si="3"/>
        <v>2262869.4473978784</v>
      </c>
      <c r="AS24" s="46">
        <f t="shared" si="3"/>
        <v>2262869.4473978784</v>
      </c>
      <c r="AT24" s="46">
        <f t="shared" si="3"/>
        <v>2262869.4473978784</v>
      </c>
      <c r="AU24" s="46">
        <f t="shared" si="3"/>
        <v>2262869.4473978784</v>
      </c>
      <c r="AV24" s="46">
        <f t="shared" si="3"/>
        <v>2262869.4473978784</v>
      </c>
      <c r="AW24" s="46">
        <f t="shared" si="3"/>
        <v>2262869.4473978784</v>
      </c>
      <c r="AX24" s="46">
        <f t="shared" si="3"/>
        <v>2262869.4473978784</v>
      </c>
      <c r="AY24" s="46">
        <f t="shared" si="3"/>
        <v>2262869.4473978784</v>
      </c>
      <c r="AZ24" s="46">
        <f t="shared" si="3"/>
        <v>2262869.4473978784</v>
      </c>
      <c r="BA24" s="46">
        <f t="shared" si="3"/>
        <v>2262869.4473978784</v>
      </c>
      <c r="BB24" s="46">
        <f t="shared" si="3"/>
        <v>2262869.4473978784</v>
      </c>
      <c r="BC24" s="46">
        <f t="shared" si="3"/>
        <v>2262869.4473978784</v>
      </c>
      <c r="BD24" s="46">
        <f t="shared" si="3"/>
        <v>2262869.4473978784</v>
      </c>
      <c r="BE24" s="46">
        <f t="shared" si="3"/>
        <v>2262869.4473978784</v>
      </c>
    </row>
    <row r="25" spans="3:57" ht="14.7" customHeight="1">
      <c r="C25" s="406"/>
      <c r="D25" s="44" t="s">
        <v>242</v>
      </c>
      <c r="E25" s="45"/>
      <c r="F25" s="45"/>
      <c r="G25" s="45"/>
      <c r="H25" s="124">
        <f>('Economic parameters'!$C$34)/100</f>
        <v>0.10079919360645113</v>
      </c>
      <c r="I25" s="124">
        <f>('Economic parameters'!$C$34)/100</f>
        <v>0.10079919360645113</v>
      </c>
      <c r="J25" s="124">
        <f>('Economic parameters'!$C$34)/100</f>
        <v>0.10079919360645113</v>
      </c>
      <c r="K25" s="124">
        <f>('Economic parameters'!$C$34)/100</f>
        <v>0.10079919360645113</v>
      </c>
      <c r="L25" s="124">
        <f>('Economic parameters'!$C$34)/100</f>
        <v>0.10079919360645113</v>
      </c>
      <c r="M25" s="124">
        <f>('Economic parameters'!$C$34)/100</f>
        <v>0.10079919360645113</v>
      </c>
      <c r="N25" s="124">
        <f>('Economic parameters'!$C$34)/100</f>
        <v>0.10079919360645113</v>
      </c>
      <c r="O25" s="124">
        <f>('Economic parameters'!$C$34)/100</f>
        <v>0.10079919360645113</v>
      </c>
      <c r="P25" s="124">
        <f>('Economic parameters'!$C$34)/100</f>
        <v>0.10079919360645113</v>
      </c>
      <c r="Q25" s="124">
        <f>('Economic parameters'!$C$34)/100</f>
        <v>0.10079919360645113</v>
      </c>
      <c r="R25" s="124">
        <f>('Economic parameters'!$C$34)/100</f>
        <v>0.10079919360645113</v>
      </c>
      <c r="S25" s="124">
        <f>('Economic parameters'!$C$34)/100</f>
        <v>0.10079919360645113</v>
      </c>
      <c r="T25" s="124">
        <f>('Economic parameters'!$C$34)/100</f>
        <v>0.10079919360645113</v>
      </c>
      <c r="U25" s="124">
        <f>('Economic parameters'!$C$34)/100</f>
        <v>0.10079919360645113</v>
      </c>
      <c r="V25" s="124">
        <f>('Economic parameters'!$C$34)/100</f>
        <v>0.10079919360645113</v>
      </c>
      <c r="W25" s="124">
        <f>('Economic parameters'!$C$34)/100</f>
        <v>0.10079919360645113</v>
      </c>
      <c r="X25" s="124">
        <f>('Economic parameters'!$C$34)/100</f>
        <v>0.10079919360645113</v>
      </c>
      <c r="Y25" s="124">
        <f>('Economic parameters'!$C$34)/100</f>
        <v>0.10079919360645113</v>
      </c>
      <c r="Z25" s="124">
        <f>('Economic parameters'!$C$34)/100</f>
        <v>0.10079919360645113</v>
      </c>
      <c r="AA25" s="124">
        <f>('Economic parameters'!$C$34)/100</f>
        <v>0.10079919360645113</v>
      </c>
      <c r="AB25" s="124">
        <f>('Economic parameters'!$C$34)/100</f>
        <v>0.10079919360645113</v>
      </c>
      <c r="AC25" s="124">
        <f>('Economic parameters'!$C$34)/100</f>
        <v>0.10079919360645113</v>
      </c>
      <c r="AD25" s="124">
        <f>('Economic parameters'!$C$34)/100</f>
        <v>0.10079919360645113</v>
      </c>
      <c r="AE25" s="124">
        <f>('Economic parameters'!$C$34)/100</f>
        <v>0.10079919360645113</v>
      </c>
      <c r="AF25" s="124">
        <f>('Economic parameters'!$C$34)/100</f>
        <v>0.10079919360645113</v>
      </c>
      <c r="AG25" s="124">
        <f>('Economic parameters'!$C$34)/100</f>
        <v>0.10079919360645113</v>
      </c>
      <c r="AH25" s="124">
        <f>('Economic parameters'!$C$34)/100</f>
        <v>0.10079919360645113</v>
      </c>
      <c r="AI25" s="124">
        <f>('Economic parameters'!$C$34)/100</f>
        <v>0.10079919360645113</v>
      </c>
      <c r="AJ25" s="124">
        <f>('Economic parameters'!$C$34)/100</f>
        <v>0.10079919360645113</v>
      </c>
      <c r="AK25" s="124">
        <f>('Economic parameters'!$C$34)/100</f>
        <v>0.10079919360645113</v>
      </c>
      <c r="AL25" s="124">
        <f>('Economic parameters'!$C$34)/100</f>
        <v>0.10079919360645113</v>
      </c>
      <c r="AM25" s="124">
        <f>('Economic parameters'!$C$34)/100</f>
        <v>0.10079919360645113</v>
      </c>
      <c r="AN25" s="124">
        <f>('Economic parameters'!$C$34)/100</f>
        <v>0.10079919360645113</v>
      </c>
      <c r="AO25" s="124">
        <f>('Economic parameters'!$C$34)/100</f>
        <v>0.10079919360645113</v>
      </c>
      <c r="AP25" s="124">
        <f>('Economic parameters'!$C$34)/100</f>
        <v>0.10079919360645113</v>
      </c>
      <c r="AQ25" s="124">
        <f>('Economic parameters'!$C$34)/100</f>
        <v>0.10079919360645113</v>
      </c>
      <c r="AR25" s="124">
        <f>('Economic parameters'!$C$34)/100</f>
        <v>0.10079919360645113</v>
      </c>
      <c r="AS25" s="124">
        <f>('Economic parameters'!$C$34)/100</f>
        <v>0.10079919360645113</v>
      </c>
      <c r="AT25" s="124">
        <f>('Economic parameters'!$C$34)/100</f>
        <v>0.10079919360645113</v>
      </c>
      <c r="AU25" s="124">
        <f>('Economic parameters'!$C$34)/100</f>
        <v>0.10079919360645113</v>
      </c>
      <c r="AV25" s="124">
        <f>('Economic parameters'!$C$34)/100</f>
        <v>0.10079919360645113</v>
      </c>
      <c r="AW25" s="124">
        <f>('Economic parameters'!$C$34)/100</f>
        <v>0.10079919360645113</v>
      </c>
      <c r="AX25" s="124">
        <f>('Economic parameters'!$C$34)/100</f>
        <v>0.10079919360645113</v>
      </c>
      <c r="AY25" s="124">
        <f>('Economic parameters'!$C$34)/100</f>
        <v>0.10079919360645113</v>
      </c>
      <c r="AZ25" s="124">
        <f>('Economic parameters'!$C$34)/100</f>
        <v>0.10079919360645113</v>
      </c>
      <c r="BA25" s="124">
        <f>('Economic parameters'!$C$34)/100</f>
        <v>0.10079919360645113</v>
      </c>
      <c r="BB25" s="124">
        <f>('Economic parameters'!$C$34)/100</f>
        <v>0.10079919360645113</v>
      </c>
      <c r="BC25" s="124">
        <f>('Economic parameters'!$C$34)/100</f>
        <v>0.10079919360645113</v>
      </c>
      <c r="BD25" s="124">
        <f>('Economic parameters'!$C$34)/100</f>
        <v>0.10079919360645113</v>
      </c>
      <c r="BE25" s="124">
        <f>('Economic parameters'!$C$34)/100</f>
        <v>0.10079919360645113</v>
      </c>
    </row>
    <row r="26" spans="3:57" ht="14.7" customHeight="1">
      <c r="C26" s="406"/>
      <c r="D26" s="44" t="s">
        <v>146</v>
      </c>
      <c r="E26" s="45"/>
      <c r="F26" s="45"/>
      <c r="G26" s="45"/>
      <c r="H26" s="46">
        <f>IF(H16="n/a","n/a",H16*1000*H25)</f>
        <v>6953904.5287637673</v>
      </c>
      <c r="I26" s="46">
        <f t="shared" ref="I26:BE26" si="4">IF(I16="n/a","n/a",I16*1000*I25)</f>
        <v>6953904.5287637673</v>
      </c>
      <c r="J26" s="46">
        <f t="shared" si="4"/>
        <v>6953904.5287637673</v>
      </c>
      <c r="K26" s="46">
        <f t="shared" si="4"/>
        <v>6953904.5287637673</v>
      </c>
      <c r="L26" s="46">
        <f t="shared" si="4"/>
        <v>6953904.5287637673</v>
      </c>
      <c r="M26" s="46">
        <f t="shared" si="4"/>
        <v>6953904.5287637673</v>
      </c>
      <c r="N26" s="46">
        <f t="shared" si="4"/>
        <v>6953904.5287637673</v>
      </c>
      <c r="O26" s="46">
        <f t="shared" si="4"/>
        <v>6953904.5287637673</v>
      </c>
      <c r="P26" s="46">
        <f t="shared" si="4"/>
        <v>6953904.5287637673</v>
      </c>
      <c r="Q26" s="46">
        <f t="shared" si="4"/>
        <v>6953904.5287637673</v>
      </c>
      <c r="R26" s="46">
        <f t="shared" si="4"/>
        <v>6953904.5287637673</v>
      </c>
      <c r="S26" s="46">
        <f t="shared" si="4"/>
        <v>6953904.5287637673</v>
      </c>
      <c r="T26" s="46">
        <f t="shared" si="4"/>
        <v>6953904.5287637673</v>
      </c>
      <c r="U26" s="46">
        <f t="shared" si="4"/>
        <v>6953904.5287637673</v>
      </c>
      <c r="V26" s="46">
        <f t="shared" si="4"/>
        <v>6953904.5287637673</v>
      </c>
      <c r="W26" s="46">
        <f t="shared" si="4"/>
        <v>6953904.5287637673</v>
      </c>
      <c r="X26" s="46">
        <f t="shared" si="4"/>
        <v>6953904.5287637673</v>
      </c>
      <c r="Y26" s="46">
        <f t="shared" si="4"/>
        <v>6953904.5287637673</v>
      </c>
      <c r="Z26" s="46">
        <f t="shared" si="4"/>
        <v>6953904.5287637673</v>
      </c>
      <c r="AA26" s="46">
        <f t="shared" si="4"/>
        <v>6953904.5287637673</v>
      </c>
      <c r="AB26" s="46">
        <f t="shared" si="4"/>
        <v>6953904.5287637673</v>
      </c>
      <c r="AC26" s="46">
        <f t="shared" si="4"/>
        <v>6953904.5287637673</v>
      </c>
      <c r="AD26" s="46">
        <f t="shared" si="4"/>
        <v>6953904.5287637673</v>
      </c>
      <c r="AE26" s="46">
        <f t="shared" si="4"/>
        <v>6953904.5287637673</v>
      </c>
      <c r="AF26" s="46">
        <f t="shared" si="4"/>
        <v>6953904.5287637673</v>
      </c>
      <c r="AG26" s="46">
        <f t="shared" si="4"/>
        <v>6953904.5287637673</v>
      </c>
      <c r="AH26" s="46">
        <f t="shared" si="4"/>
        <v>6953904.5287637673</v>
      </c>
      <c r="AI26" s="46">
        <f t="shared" si="4"/>
        <v>6953904.5287637673</v>
      </c>
      <c r="AJ26" s="46">
        <f t="shared" si="4"/>
        <v>6953904.5287637673</v>
      </c>
      <c r="AK26" s="46">
        <f t="shared" si="4"/>
        <v>6953904.5287637673</v>
      </c>
      <c r="AL26" s="46">
        <f t="shared" si="4"/>
        <v>6953904.5287637673</v>
      </c>
      <c r="AM26" s="46">
        <f t="shared" si="4"/>
        <v>6953904.5287637673</v>
      </c>
      <c r="AN26" s="46">
        <f t="shared" si="4"/>
        <v>6953904.5287637673</v>
      </c>
      <c r="AO26" s="46">
        <f t="shared" si="4"/>
        <v>6953904.5287637673</v>
      </c>
      <c r="AP26" s="46">
        <f t="shared" si="4"/>
        <v>6953904.5287637673</v>
      </c>
      <c r="AQ26" s="46">
        <f t="shared" si="4"/>
        <v>6953904.5287637673</v>
      </c>
      <c r="AR26" s="46">
        <f t="shared" si="4"/>
        <v>6953904.5287637673</v>
      </c>
      <c r="AS26" s="46">
        <f t="shared" si="4"/>
        <v>6953904.5287637673</v>
      </c>
      <c r="AT26" s="46">
        <f t="shared" si="4"/>
        <v>6953904.5287637673</v>
      </c>
      <c r="AU26" s="46">
        <f t="shared" si="4"/>
        <v>6953904.5287637673</v>
      </c>
      <c r="AV26" s="46">
        <f t="shared" si="4"/>
        <v>6953904.5287637673</v>
      </c>
      <c r="AW26" s="46">
        <f t="shared" si="4"/>
        <v>6953904.5287637673</v>
      </c>
      <c r="AX26" s="46">
        <f t="shared" si="4"/>
        <v>6953904.5287637673</v>
      </c>
      <c r="AY26" s="46">
        <f t="shared" si="4"/>
        <v>6953904.5287637673</v>
      </c>
      <c r="AZ26" s="46">
        <f t="shared" si="4"/>
        <v>6953904.5287637673</v>
      </c>
      <c r="BA26" s="46">
        <f t="shared" si="4"/>
        <v>6953904.5287637673</v>
      </c>
      <c r="BB26" s="46">
        <f t="shared" si="4"/>
        <v>6953904.5287637673</v>
      </c>
      <c r="BC26" s="46">
        <f t="shared" si="4"/>
        <v>6953904.5287637673</v>
      </c>
      <c r="BD26" s="46">
        <f t="shared" si="4"/>
        <v>6953904.5287637673</v>
      </c>
      <c r="BE26" s="46">
        <f t="shared" si="4"/>
        <v>6953904.5287637673</v>
      </c>
    </row>
    <row r="27" spans="3:57" ht="14.7" customHeight="1">
      <c r="C27" s="406"/>
      <c r="D27" s="44" t="s">
        <v>244</v>
      </c>
      <c r="E27" s="45"/>
      <c r="F27" s="45"/>
      <c r="G27" s="45"/>
      <c r="H27" s="46">
        <f>'Economic parameters'!$C$35</f>
        <v>60</v>
      </c>
      <c r="I27" s="46">
        <f>'Economic parameters'!$C$35</f>
        <v>60</v>
      </c>
      <c r="J27" s="46">
        <f>'Economic parameters'!$C$35</f>
        <v>60</v>
      </c>
      <c r="K27" s="46">
        <f>'Economic parameters'!$C$35</f>
        <v>60</v>
      </c>
      <c r="L27" s="46">
        <f>'Economic parameters'!$C$35</f>
        <v>60</v>
      </c>
      <c r="M27" s="46">
        <f>'Economic parameters'!$C$35</f>
        <v>60</v>
      </c>
      <c r="N27" s="46">
        <f>'Economic parameters'!$C$35</f>
        <v>60</v>
      </c>
      <c r="O27" s="46">
        <f>'Economic parameters'!$C$35</f>
        <v>60</v>
      </c>
      <c r="P27" s="46">
        <f>'Economic parameters'!$C$35</f>
        <v>60</v>
      </c>
      <c r="Q27" s="46">
        <f>'Economic parameters'!$C$35</f>
        <v>60</v>
      </c>
      <c r="R27" s="46">
        <f>'Economic parameters'!$C$35</f>
        <v>60</v>
      </c>
      <c r="S27" s="46">
        <f>'Economic parameters'!$C$35</f>
        <v>60</v>
      </c>
      <c r="T27" s="46">
        <f>'Economic parameters'!$C$35</f>
        <v>60</v>
      </c>
      <c r="U27" s="46">
        <f>'Economic parameters'!$C$35</f>
        <v>60</v>
      </c>
      <c r="V27" s="46">
        <f>'Economic parameters'!$C$35</f>
        <v>60</v>
      </c>
      <c r="W27" s="46">
        <f>'Economic parameters'!$C$35</f>
        <v>60</v>
      </c>
      <c r="X27" s="46">
        <f>'Economic parameters'!$C$35</f>
        <v>60</v>
      </c>
      <c r="Y27" s="46">
        <f>'Economic parameters'!$C$35</f>
        <v>60</v>
      </c>
      <c r="Z27" s="46">
        <f>'Economic parameters'!$C$35</f>
        <v>60</v>
      </c>
      <c r="AA27" s="46">
        <f>'Economic parameters'!$C$35</f>
        <v>60</v>
      </c>
      <c r="AB27" s="46">
        <f>'Economic parameters'!$C$35</f>
        <v>60</v>
      </c>
      <c r="AC27" s="46">
        <f>'Economic parameters'!$C$35</f>
        <v>60</v>
      </c>
      <c r="AD27" s="46">
        <f>'Economic parameters'!$C$35</f>
        <v>60</v>
      </c>
      <c r="AE27" s="46">
        <f>'Economic parameters'!$C$35</f>
        <v>60</v>
      </c>
      <c r="AF27" s="46">
        <f>'Economic parameters'!$C$35</f>
        <v>60</v>
      </c>
      <c r="AG27" s="46">
        <f>'Economic parameters'!$C$35</f>
        <v>60</v>
      </c>
      <c r="AH27" s="46">
        <f>'Economic parameters'!$C$35</f>
        <v>60</v>
      </c>
      <c r="AI27" s="46">
        <f>'Economic parameters'!$C$35</f>
        <v>60</v>
      </c>
      <c r="AJ27" s="46">
        <f>'Economic parameters'!$C$35</f>
        <v>60</v>
      </c>
      <c r="AK27" s="46">
        <f>'Economic parameters'!$C$35</f>
        <v>60</v>
      </c>
      <c r="AL27" s="46">
        <f>'Economic parameters'!$C$35</f>
        <v>60</v>
      </c>
      <c r="AM27" s="46">
        <f>'Economic parameters'!$C$35</f>
        <v>60</v>
      </c>
      <c r="AN27" s="46">
        <f>'Economic parameters'!$C$35</f>
        <v>60</v>
      </c>
      <c r="AO27" s="46">
        <f>'Economic parameters'!$C$35</f>
        <v>60</v>
      </c>
      <c r="AP27" s="46">
        <f>'Economic parameters'!$C$35</f>
        <v>60</v>
      </c>
      <c r="AQ27" s="46">
        <f>'Economic parameters'!$C$35</f>
        <v>60</v>
      </c>
      <c r="AR27" s="46">
        <f>'Economic parameters'!$C$35</f>
        <v>60</v>
      </c>
      <c r="AS27" s="46">
        <f>'Economic parameters'!$C$35</f>
        <v>60</v>
      </c>
      <c r="AT27" s="46">
        <f>'Economic parameters'!$C$35</f>
        <v>60</v>
      </c>
      <c r="AU27" s="46">
        <f>'Economic parameters'!$C$35</f>
        <v>60</v>
      </c>
      <c r="AV27" s="46">
        <f>'Economic parameters'!$C$35</f>
        <v>60</v>
      </c>
      <c r="AW27" s="46">
        <f>'Economic parameters'!$C$35</f>
        <v>60</v>
      </c>
      <c r="AX27" s="46">
        <f>'Economic parameters'!$C$35</f>
        <v>60</v>
      </c>
      <c r="AY27" s="46">
        <f>'Economic parameters'!$C$35</f>
        <v>60</v>
      </c>
      <c r="AZ27" s="46">
        <f>'Economic parameters'!$C$35</f>
        <v>60</v>
      </c>
      <c r="BA27" s="46">
        <f>'Economic parameters'!$C$35</f>
        <v>60</v>
      </c>
      <c r="BB27" s="46">
        <f>'Economic parameters'!$C$35</f>
        <v>60</v>
      </c>
      <c r="BC27" s="46">
        <f>'Economic parameters'!$C$35</f>
        <v>60</v>
      </c>
      <c r="BD27" s="46">
        <f>'Economic parameters'!$C$35</f>
        <v>60</v>
      </c>
      <c r="BE27" s="46">
        <f>'Economic parameters'!$C$35</f>
        <v>60</v>
      </c>
    </row>
    <row r="28" spans="3:57" ht="14.7" customHeight="1">
      <c r="C28" s="406"/>
      <c r="D28" s="44" t="s">
        <v>239</v>
      </c>
      <c r="E28" s="45"/>
      <c r="F28" s="45"/>
      <c r="G28" s="45"/>
      <c r="H28" s="46">
        <f>74*(H16/277.8)*'Economic parameters'!$C$35</f>
        <v>1102611.1879049675</v>
      </c>
      <c r="I28" s="46">
        <f>74*(I16/277.8)*'Economic parameters'!$C$35</f>
        <v>1102611.1879049675</v>
      </c>
      <c r="J28" s="46">
        <f>74*(J16/277.8)*'Economic parameters'!$C$35</f>
        <v>1102611.1879049675</v>
      </c>
      <c r="K28" s="46">
        <f>74*(K16/277.8)*'Economic parameters'!$C$35</f>
        <v>1102611.1879049675</v>
      </c>
      <c r="L28" s="46">
        <f>74*(L16/277.8)*'Economic parameters'!$C$35</f>
        <v>1102611.1879049675</v>
      </c>
      <c r="M28" s="46">
        <f>74*(M16/277.8)*'Economic parameters'!$C$35</f>
        <v>1102611.1879049675</v>
      </c>
      <c r="N28" s="46">
        <f>74*(N16/277.8)*'Economic parameters'!$C$35</f>
        <v>1102611.1879049675</v>
      </c>
      <c r="O28" s="46">
        <f>74*(O16/277.8)*'Economic parameters'!$C$35</f>
        <v>1102611.1879049675</v>
      </c>
      <c r="P28" s="46">
        <f>74*(P16/277.8)*'Economic parameters'!$C$35</f>
        <v>1102611.1879049675</v>
      </c>
      <c r="Q28" s="46">
        <f>74*(Q16/277.8)*'Economic parameters'!$C$35</f>
        <v>1102611.1879049675</v>
      </c>
      <c r="R28" s="46">
        <f>74*(R16/277.8)*'Economic parameters'!$C$35</f>
        <v>1102611.1879049675</v>
      </c>
      <c r="S28" s="46">
        <f>74*(S16/277.8)*'Economic parameters'!$C$35</f>
        <v>1102611.1879049675</v>
      </c>
      <c r="T28" s="46">
        <f>74*(T16/277.8)*'Economic parameters'!$C$35</f>
        <v>1102611.1879049675</v>
      </c>
      <c r="U28" s="46">
        <f>74*(U16/277.8)*'Economic parameters'!$C$35</f>
        <v>1102611.1879049675</v>
      </c>
      <c r="V28" s="46">
        <f>74*(V16/277.8)*'Economic parameters'!$C$35</f>
        <v>1102611.1879049675</v>
      </c>
      <c r="W28" s="46">
        <f>74*(W16/277.8)*'Economic parameters'!$C$35</f>
        <v>1102611.1879049675</v>
      </c>
      <c r="X28" s="46">
        <f>74*(X16/277.8)*'Economic parameters'!$C$35</f>
        <v>1102611.1879049675</v>
      </c>
      <c r="Y28" s="46">
        <f>74*(Y16/277.8)*'Economic parameters'!$C$35</f>
        <v>1102611.1879049675</v>
      </c>
      <c r="Z28" s="46">
        <f>74*(Z16/277.8)*'Economic parameters'!$C$35</f>
        <v>1102611.1879049675</v>
      </c>
      <c r="AA28" s="46">
        <f>74*(AA16/277.8)*'Economic parameters'!$C$35</f>
        <v>1102611.1879049675</v>
      </c>
      <c r="AB28" s="46">
        <f>74*(AB16/277.8)*'Economic parameters'!$C$35</f>
        <v>1102611.1879049675</v>
      </c>
      <c r="AC28" s="46">
        <f>74*(AC16/277.8)*'Economic parameters'!$C$35</f>
        <v>1102611.1879049675</v>
      </c>
      <c r="AD28" s="46">
        <f>74*(AD16/277.8)*'Economic parameters'!$C$35</f>
        <v>1102611.1879049675</v>
      </c>
      <c r="AE28" s="46">
        <f>74*(AE16/277.8)*'Economic parameters'!$C$35</f>
        <v>1102611.1879049675</v>
      </c>
      <c r="AF28" s="46">
        <f>74*(AF16/277.8)*'Economic parameters'!$C$35</f>
        <v>1102611.1879049675</v>
      </c>
      <c r="AG28" s="46">
        <f>74*(AG16/277.8)*'Economic parameters'!$C$35</f>
        <v>1102611.1879049675</v>
      </c>
      <c r="AH28" s="46">
        <f>74*(AH16/277.8)*'Economic parameters'!$C$35</f>
        <v>1102611.1879049675</v>
      </c>
      <c r="AI28" s="46">
        <f>74*(AI16/277.8)*'Economic parameters'!$C$35</f>
        <v>1102611.1879049675</v>
      </c>
      <c r="AJ28" s="46">
        <f>74*(AJ16/277.8)*'Economic parameters'!$C$35</f>
        <v>1102611.1879049675</v>
      </c>
      <c r="AK28" s="46">
        <f>74*(AK16/277.8)*'Economic parameters'!$C$35</f>
        <v>1102611.1879049675</v>
      </c>
      <c r="AL28" s="46">
        <f>74*(AL16/277.8)*'Economic parameters'!$C$35</f>
        <v>1102611.1879049675</v>
      </c>
      <c r="AM28" s="46">
        <f>74*(AM16/277.8)*'Economic parameters'!$C$35</f>
        <v>1102611.1879049675</v>
      </c>
      <c r="AN28" s="46">
        <f>74*(AN16/277.8)*'Economic parameters'!$C$35</f>
        <v>1102611.1879049675</v>
      </c>
      <c r="AO28" s="46">
        <f>74*(AO16/277.8)*'Economic parameters'!$C$35</f>
        <v>1102611.1879049675</v>
      </c>
      <c r="AP28" s="46">
        <f>74*(AP16/277.8)*'Economic parameters'!$C$35</f>
        <v>1102611.1879049675</v>
      </c>
      <c r="AQ28" s="46">
        <f>74*(AQ16/277.8)*'Economic parameters'!$C$35</f>
        <v>1102611.1879049675</v>
      </c>
      <c r="AR28" s="46">
        <f>74*(AR16/277.8)*'Economic parameters'!$C$35</f>
        <v>1102611.1879049675</v>
      </c>
      <c r="AS28" s="46">
        <f>74*(AS16/277.8)*'Economic parameters'!$C$35</f>
        <v>1102611.1879049675</v>
      </c>
      <c r="AT28" s="46">
        <f>74*(AT16/277.8)*'Economic parameters'!$C$35</f>
        <v>1102611.1879049675</v>
      </c>
      <c r="AU28" s="46">
        <f>74*(AU16/277.8)*'Economic parameters'!$C$35</f>
        <v>1102611.1879049675</v>
      </c>
      <c r="AV28" s="46">
        <f>74*(AV16/277.8)*'Economic parameters'!$C$35</f>
        <v>1102611.1879049675</v>
      </c>
      <c r="AW28" s="46">
        <f>74*(AW16/277.8)*'Economic parameters'!$C$35</f>
        <v>1102611.1879049675</v>
      </c>
      <c r="AX28" s="46">
        <f>74*(AX16/277.8)*'Economic parameters'!$C$35</f>
        <v>1102611.1879049675</v>
      </c>
      <c r="AY28" s="46">
        <f>74*(AY16/277.8)*'Economic parameters'!$C$35</f>
        <v>1102611.1879049675</v>
      </c>
      <c r="AZ28" s="46">
        <f>74*(AZ16/277.8)*'Economic parameters'!$C$35</f>
        <v>1102611.1879049675</v>
      </c>
      <c r="BA28" s="46">
        <f>74*(BA16/277.8)*'Economic parameters'!$C$35</f>
        <v>1102611.1879049675</v>
      </c>
      <c r="BB28" s="46">
        <f>74*(BB16/277.8)*'Economic parameters'!$C$35</f>
        <v>1102611.1879049675</v>
      </c>
      <c r="BC28" s="46">
        <f>74*(BC16/277.8)*'Economic parameters'!$C$35</f>
        <v>1102611.1879049675</v>
      </c>
      <c r="BD28" s="46">
        <f>74*(BD16/277.8)*'Economic parameters'!$C$35</f>
        <v>1102611.1879049675</v>
      </c>
      <c r="BE28" s="46">
        <f>74*(BE16/277.8)*'Economic parameters'!$C$35</f>
        <v>1102611.1879049675</v>
      </c>
    </row>
    <row r="29" spans="3:57" ht="15" customHeight="1">
      <c r="C29" s="406"/>
      <c r="D29" s="47" t="s">
        <v>164</v>
      </c>
      <c r="E29" s="45"/>
      <c r="F29" s="45"/>
      <c r="G29" s="45"/>
      <c r="H29" s="46">
        <f>IF(H24="n/a",H26,IF(H26="n/a",H24,H24+H26+H28))</f>
        <v>10319385.164066613</v>
      </c>
      <c r="I29" s="46">
        <f t="shared" ref="I29:BE29" si="5">IF(I24="n/a",I26,IF(I26="n/a",I24,I24+I26+I28))</f>
        <v>10319385.164066613</v>
      </c>
      <c r="J29" s="46">
        <f t="shared" si="5"/>
        <v>10319385.164066613</v>
      </c>
      <c r="K29" s="46">
        <f t="shared" si="5"/>
        <v>10319385.164066613</v>
      </c>
      <c r="L29" s="46">
        <f t="shared" si="5"/>
        <v>10319385.164066613</v>
      </c>
      <c r="M29" s="46">
        <f t="shared" si="5"/>
        <v>10319385.164066613</v>
      </c>
      <c r="N29" s="46">
        <f t="shared" si="5"/>
        <v>10319385.164066613</v>
      </c>
      <c r="O29" s="46">
        <f t="shared" si="5"/>
        <v>10319385.164066613</v>
      </c>
      <c r="P29" s="46">
        <f t="shared" si="5"/>
        <v>10319385.164066613</v>
      </c>
      <c r="Q29" s="46">
        <f t="shared" si="5"/>
        <v>10319385.164066613</v>
      </c>
      <c r="R29" s="46">
        <f t="shared" si="5"/>
        <v>10319385.164066613</v>
      </c>
      <c r="S29" s="46">
        <f t="shared" si="5"/>
        <v>10319385.164066613</v>
      </c>
      <c r="T29" s="46">
        <f t="shared" si="5"/>
        <v>10319385.164066613</v>
      </c>
      <c r="U29" s="46">
        <f t="shared" si="5"/>
        <v>10319385.164066613</v>
      </c>
      <c r="V29" s="46">
        <f t="shared" si="5"/>
        <v>10319385.164066613</v>
      </c>
      <c r="W29" s="46">
        <f t="shared" si="5"/>
        <v>10319385.164066613</v>
      </c>
      <c r="X29" s="46">
        <f t="shared" si="5"/>
        <v>10319385.164066613</v>
      </c>
      <c r="Y29" s="46">
        <f t="shared" si="5"/>
        <v>10319385.164066613</v>
      </c>
      <c r="Z29" s="46">
        <f t="shared" si="5"/>
        <v>10319385.164066613</v>
      </c>
      <c r="AA29" s="46">
        <f t="shared" si="5"/>
        <v>10319385.164066613</v>
      </c>
      <c r="AB29" s="46">
        <f t="shared" si="5"/>
        <v>10319385.164066613</v>
      </c>
      <c r="AC29" s="46">
        <f t="shared" si="5"/>
        <v>10319385.164066613</v>
      </c>
      <c r="AD29" s="46">
        <f t="shared" si="5"/>
        <v>10319385.164066613</v>
      </c>
      <c r="AE29" s="46">
        <f t="shared" si="5"/>
        <v>10319385.164066613</v>
      </c>
      <c r="AF29" s="46">
        <f t="shared" si="5"/>
        <v>10319385.164066613</v>
      </c>
      <c r="AG29" s="46">
        <f t="shared" si="5"/>
        <v>10319385.164066613</v>
      </c>
      <c r="AH29" s="46">
        <f t="shared" si="5"/>
        <v>10319385.164066613</v>
      </c>
      <c r="AI29" s="46">
        <f t="shared" si="5"/>
        <v>10319385.164066613</v>
      </c>
      <c r="AJ29" s="46">
        <f t="shared" si="5"/>
        <v>10319385.164066613</v>
      </c>
      <c r="AK29" s="46">
        <f t="shared" si="5"/>
        <v>10319385.164066613</v>
      </c>
      <c r="AL29" s="46">
        <f t="shared" si="5"/>
        <v>10319385.164066613</v>
      </c>
      <c r="AM29" s="46">
        <f t="shared" si="5"/>
        <v>10319385.164066613</v>
      </c>
      <c r="AN29" s="46">
        <f t="shared" si="5"/>
        <v>10319385.164066613</v>
      </c>
      <c r="AO29" s="46">
        <f t="shared" si="5"/>
        <v>10319385.164066613</v>
      </c>
      <c r="AP29" s="46">
        <f t="shared" si="5"/>
        <v>10319385.164066613</v>
      </c>
      <c r="AQ29" s="46">
        <f t="shared" si="5"/>
        <v>10319385.164066613</v>
      </c>
      <c r="AR29" s="46">
        <f t="shared" si="5"/>
        <v>10319385.164066613</v>
      </c>
      <c r="AS29" s="46">
        <f t="shared" si="5"/>
        <v>10319385.164066613</v>
      </c>
      <c r="AT29" s="46">
        <f t="shared" si="5"/>
        <v>10319385.164066613</v>
      </c>
      <c r="AU29" s="46">
        <f t="shared" si="5"/>
        <v>10319385.164066613</v>
      </c>
      <c r="AV29" s="46">
        <f t="shared" si="5"/>
        <v>10319385.164066613</v>
      </c>
      <c r="AW29" s="46">
        <f t="shared" si="5"/>
        <v>10319385.164066613</v>
      </c>
      <c r="AX29" s="46">
        <f t="shared" si="5"/>
        <v>10319385.164066613</v>
      </c>
      <c r="AY29" s="46">
        <f t="shared" si="5"/>
        <v>10319385.164066613</v>
      </c>
      <c r="AZ29" s="46">
        <f t="shared" si="5"/>
        <v>10319385.164066613</v>
      </c>
      <c r="BA29" s="46">
        <f t="shared" si="5"/>
        <v>10319385.164066613</v>
      </c>
      <c r="BB29" s="46">
        <f t="shared" si="5"/>
        <v>10319385.164066613</v>
      </c>
      <c r="BC29" s="46">
        <f t="shared" si="5"/>
        <v>10319385.164066613</v>
      </c>
      <c r="BD29" s="46">
        <f t="shared" si="5"/>
        <v>10319385.164066613</v>
      </c>
      <c r="BE29" s="46">
        <f t="shared" si="5"/>
        <v>10319385.164066613</v>
      </c>
    </row>
    <row r="30" spans="3:57" ht="7.35" customHeight="1">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row>
    <row r="31" spans="3:57" ht="14.7" customHeight="1">
      <c r="C31" s="403" t="s">
        <v>136</v>
      </c>
      <c r="D31" s="49" t="s">
        <v>238</v>
      </c>
      <c r="E31" s="42"/>
      <c r="F31" s="42"/>
      <c r="G31" s="42"/>
      <c r="H31" s="43">
        <f>-'Economic parameters'!$C$11*'Economic parameters'!$C$19</f>
        <v>-330365.05902651243</v>
      </c>
      <c r="I31" s="43">
        <f>-'Economic parameters'!$C$11*'Economic parameters'!$C$19</f>
        <v>-330365.05902651243</v>
      </c>
      <c r="J31" s="43">
        <f>-'Economic parameters'!$C$11*'Economic parameters'!$C$19</f>
        <v>-330365.05902651243</v>
      </c>
      <c r="K31" s="43">
        <f>-'Economic parameters'!$C$11*'Economic parameters'!$C$19</f>
        <v>-330365.05902651243</v>
      </c>
      <c r="L31" s="43">
        <f>-'Economic parameters'!$C$11*'Economic parameters'!$C$19</f>
        <v>-330365.05902651243</v>
      </c>
      <c r="M31" s="43">
        <f>-'Economic parameters'!$C$11*'Economic parameters'!$C$19</f>
        <v>-330365.05902651243</v>
      </c>
      <c r="N31" s="43">
        <f>-'Economic parameters'!$C$11*'Economic parameters'!$C$19</f>
        <v>-330365.05902651243</v>
      </c>
      <c r="O31" s="43">
        <f>-'Economic parameters'!$C$11*'Economic parameters'!$C$19</f>
        <v>-330365.05902651243</v>
      </c>
      <c r="P31" s="43">
        <f>-'Economic parameters'!$C$11*'Economic parameters'!$C$19</f>
        <v>-330365.05902651243</v>
      </c>
      <c r="Q31" s="43">
        <f>-'Economic parameters'!$C$11*'Economic parameters'!$C$19</f>
        <v>-330365.05902651243</v>
      </c>
      <c r="R31" s="43">
        <f>-'Economic parameters'!$C$11*'Economic parameters'!$C$19</f>
        <v>-330365.05902651243</v>
      </c>
      <c r="S31" s="43">
        <f>-'Economic parameters'!$C$11*'Economic parameters'!$C$19</f>
        <v>-330365.05902651243</v>
      </c>
      <c r="T31" s="43">
        <f>-'Economic parameters'!$C$11*'Economic parameters'!$C$19</f>
        <v>-330365.05902651243</v>
      </c>
      <c r="U31" s="43">
        <f>-'Economic parameters'!$C$11*'Economic parameters'!$C$19</f>
        <v>-330365.05902651243</v>
      </c>
      <c r="V31" s="43">
        <f>-'Economic parameters'!$C$11*'Economic parameters'!$C$19</f>
        <v>-330365.05902651243</v>
      </c>
      <c r="W31" s="43">
        <f>-'Economic parameters'!$C$11*'Economic parameters'!$C$19</f>
        <v>-330365.05902651243</v>
      </c>
      <c r="X31" s="43">
        <f>-'Economic parameters'!$C$11*'Economic parameters'!$C$19</f>
        <v>-330365.05902651243</v>
      </c>
      <c r="Y31" s="43">
        <f>-'Economic parameters'!$C$11*'Economic parameters'!$C$19</f>
        <v>-330365.05902651243</v>
      </c>
      <c r="Z31" s="43">
        <f>-'Economic parameters'!$C$11*'Economic parameters'!$C$19</f>
        <v>-330365.05902651243</v>
      </c>
      <c r="AA31" s="43">
        <f>-'Economic parameters'!$C$11*'Economic parameters'!$C$19</f>
        <v>-330365.05902651243</v>
      </c>
      <c r="AB31" s="43">
        <f>-'Economic parameters'!$C$11*'Economic parameters'!$C$19</f>
        <v>-330365.05902651243</v>
      </c>
      <c r="AC31" s="43">
        <f>-'Economic parameters'!$C$11*'Economic parameters'!$C$19</f>
        <v>-330365.05902651243</v>
      </c>
      <c r="AD31" s="43">
        <f>-'Economic parameters'!$C$11*'Economic parameters'!$C$19</f>
        <v>-330365.05902651243</v>
      </c>
      <c r="AE31" s="43">
        <f>-'Economic parameters'!$C$11*'Economic parameters'!$C$19</f>
        <v>-330365.05902651243</v>
      </c>
      <c r="AF31" s="43">
        <f>-'Economic parameters'!$C$11*'Economic parameters'!$C$19</f>
        <v>-330365.05902651243</v>
      </c>
      <c r="AG31" s="43">
        <f>-'Economic parameters'!$C$11*'Economic parameters'!$C$19</f>
        <v>-330365.05902651243</v>
      </c>
      <c r="AH31" s="43">
        <f>-'Economic parameters'!$C$11*'Economic parameters'!$C$19</f>
        <v>-330365.05902651243</v>
      </c>
      <c r="AI31" s="43">
        <f>-'Economic parameters'!$C$11*'Economic parameters'!$C$19</f>
        <v>-330365.05902651243</v>
      </c>
      <c r="AJ31" s="43">
        <f>-'Economic parameters'!$C$11*'Economic parameters'!$C$19</f>
        <v>-330365.05902651243</v>
      </c>
      <c r="AK31" s="43">
        <f>-'Economic parameters'!$C$11*'Economic parameters'!$C$19</f>
        <v>-330365.05902651243</v>
      </c>
      <c r="AL31" s="43">
        <f>-'Economic parameters'!$C$11*'Economic parameters'!$C$19</f>
        <v>-330365.05902651243</v>
      </c>
      <c r="AM31" s="43">
        <f>-'Economic parameters'!$C$11*'Economic parameters'!$C$19</f>
        <v>-330365.05902651243</v>
      </c>
      <c r="AN31" s="43">
        <f>-'Economic parameters'!$C$11*'Economic parameters'!$C$19</f>
        <v>-330365.05902651243</v>
      </c>
      <c r="AO31" s="43">
        <f>-'Economic parameters'!$C$11*'Economic parameters'!$C$19</f>
        <v>-330365.05902651243</v>
      </c>
      <c r="AP31" s="43">
        <f>-'Economic parameters'!$C$11*'Economic parameters'!$C$19</f>
        <v>-330365.05902651243</v>
      </c>
      <c r="AQ31" s="43">
        <f>-'Economic parameters'!$C$11*'Economic parameters'!$C$19</f>
        <v>-330365.05902651243</v>
      </c>
      <c r="AR31" s="43">
        <f>-'Economic parameters'!$C$11*'Economic parameters'!$C$19</f>
        <v>-330365.05902651243</v>
      </c>
      <c r="AS31" s="43">
        <f>-'Economic parameters'!$C$11*'Economic parameters'!$C$19</f>
        <v>-330365.05902651243</v>
      </c>
      <c r="AT31" s="43">
        <f>-'Economic parameters'!$C$11*'Economic parameters'!$C$19</f>
        <v>-330365.05902651243</v>
      </c>
      <c r="AU31" s="43">
        <f>-'Economic parameters'!$C$11*'Economic parameters'!$C$19</f>
        <v>-330365.05902651243</v>
      </c>
      <c r="AV31" s="43">
        <f>-'Economic parameters'!$C$11*'Economic parameters'!$C$19</f>
        <v>-330365.05902651243</v>
      </c>
      <c r="AW31" s="43">
        <f>-'Economic parameters'!$C$11*'Economic parameters'!$C$19</f>
        <v>-330365.05902651243</v>
      </c>
      <c r="AX31" s="43">
        <f>-'Economic parameters'!$C$11*'Economic parameters'!$C$19</f>
        <v>-330365.05902651243</v>
      </c>
      <c r="AY31" s="43">
        <f>-'Economic parameters'!$C$11*'Economic parameters'!$C$19</f>
        <v>-330365.05902651243</v>
      </c>
      <c r="AZ31" s="43">
        <f>-'Economic parameters'!$C$11*'Economic parameters'!$C$19</f>
        <v>-330365.05902651243</v>
      </c>
      <c r="BA31" s="43">
        <f>-'Economic parameters'!$C$11*'Economic parameters'!$C$19</f>
        <v>-330365.05902651243</v>
      </c>
      <c r="BB31" s="43">
        <f>-'Economic parameters'!$C$11*'Economic parameters'!$C$19</f>
        <v>-330365.05902651243</v>
      </c>
      <c r="BC31" s="43">
        <f>-'Economic parameters'!$C$11*'Economic parameters'!$C$19</f>
        <v>-330365.05902651243</v>
      </c>
      <c r="BD31" s="43">
        <f>-'Economic parameters'!$C$11*'Economic parameters'!$C$19</f>
        <v>-330365.05902651243</v>
      </c>
      <c r="BE31" s="43">
        <f>-'Economic parameters'!$C$11*'Economic parameters'!$C$19</f>
        <v>-330365.05902651243</v>
      </c>
    </row>
    <row r="32" spans="3:57" ht="14.7" customHeight="1">
      <c r="C32" s="403"/>
      <c r="D32" s="100" t="s">
        <v>173</v>
      </c>
      <c r="E32" s="39"/>
      <c r="F32" s="39"/>
      <c r="G32" s="39"/>
      <c r="H32" s="101">
        <f>H31/((1+'Economic parameters'!$C$40)^'Cash-Flow Model GeoVision'!H5)</f>
        <v>-281823.96211762575</v>
      </c>
      <c r="I32" s="101">
        <f>I31/((1+'Economic parameters'!$C$40)^'Cash-Flow Model GeoVision'!I5)</f>
        <v>-267283.7273497968</v>
      </c>
      <c r="J32" s="101">
        <f>J31/((1+'Economic parameters'!$C$40)^'Cash-Flow Model GeoVision'!J5)</f>
        <v>-253493.67161399542</v>
      </c>
      <c r="K32" s="101">
        <f>K31/((1+'Economic parameters'!$C$40)^'Cash-Flow Model GeoVision'!K5)</f>
        <v>-240415.09068095169</v>
      </c>
      <c r="L32" s="101">
        <f>L31/((1+'Economic parameters'!$C$40)^'Cash-Flow Model GeoVision'!L5)</f>
        <v>-228011.27720120607</v>
      </c>
      <c r="M32" s="101">
        <f>M31/((1+'Economic parameters'!$C$40)^'Cash-Flow Model GeoVision'!M5)</f>
        <v>-216247.4176794443</v>
      </c>
      <c r="N32" s="101">
        <f>N31/((1+'Economic parameters'!$C$40)^'Cash-Flow Model GeoVision'!N5)</f>
        <v>-205090.49476426811</v>
      </c>
      <c r="O32" s="101">
        <f>O31/((1+'Economic parameters'!$C$40)^'Cash-Flow Model GeoVision'!O5)</f>
        <v>-194509.19457916173</v>
      </c>
      <c r="P32" s="101">
        <f>P31/((1+'Economic parameters'!$C$40)^'Cash-Flow Model GeoVision'!P5)</f>
        <v>-184473.81883456159</v>
      </c>
      <c r="Q32" s="101">
        <f>Q31/((1+'Economic parameters'!$C$40)^'Cash-Flow Model GeoVision'!Q5)</f>
        <v>-174956.20147435661</v>
      </c>
      <c r="R32" s="101">
        <f>R31/((1+'Economic parameters'!$C$40)^'Cash-Flow Model GeoVision'!R5)</f>
        <v>-165929.62962287234</v>
      </c>
      <c r="S32" s="101">
        <f>S31/((1+'Economic parameters'!$C$40)^'Cash-Flow Model GeoVision'!S5)</f>
        <v>-157368.76861046316</v>
      </c>
      <c r="T32" s="101">
        <f>T31/((1+'Economic parameters'!$C$40)^'Cash-Flow Model GeoVision'!T5)</f>
        <v>-149249.59086728297</v>
      </c>
      <c r="U32" s="101">
        <f>U31/((1+'Economic parameters'!$C$40)^'Cash-Flow Model GeoVision'!U5)</f>
        <v>-141549.30848566291</v>
      </c>
      <c r="V32" s="101">
        <f>V31/((1+'Economic parameters'!$C$40)^'Cash-Flow Model GeoVision'!V5)</f>
        <v>-134246.3092618199</v>
      </c>
      <c r="W32" s="101">
        <f>W31/((1+'Economic parameters'!$C$40)^'Cash-Flow Model GeoVision'!W5)</f>
        <v>-127320.09603738609</v>
      </c>
      <c r="X32" s="101">
        <f>X31/((1+'Economic parameters'!$C$40)^'Cash-Flow Model GeoVision'!X5)</f>
        <v>-120751.22917051036</v>
      </c>
      <c r="Y32" s="101">
        <f>Y31/((1+'Economic parameters'!$C$40)^'Cash-Flow Model GeoVision'!Y5)</f>
        <v>-114521.27197506673</v>
      </c>
      <c r="Z32" s="101">
        <f>Z31/((1+'Economic parameters'!$C$40)^'Cash-Flow Model GeoVision'!Z5)</f>
        <v>-108612.73897483565</v>
      </c>
      <c r="AA32" s="101">
        <f>AA31/((1+'Economic parameters'!$C$40)^'Cash-Flow Model GeoVision'!AA5)</f>
        <v>-103009.04682742381</v>
      </c>
      <c r="AB32" s="101">
        <f>AB31/((1+'Economic parameters'!$C$40)^'Cash-Flow Model GeoVision'!AB5)</f>
        <v>-97694.46778018192</v>
      </c>
      <c r="AC32" s="101">
        <f>AC31/((1+'Economic parameters'!$C$40)^'Cash-Flow Model GeoVision'!AC5)</f>
        <v>-92654.085527486648</v>
      </c>
      <c r="AD32" s="101">
        <f>AD31/((1+'Economic parameters'!$C$40)^'Cash-Flow Model GeoVision'!AD5)</f>
        <v>-87873.753345491874</v>
      </c>
      <c r="AE32" s="101">
        <f>AE31/((1+'Economic parameters'!$C$40)^'Cash-Flow Model GeoVision'!AE5)</f>
        <v>-83340.054386847391</v>
      </c>
      <c r="AF32" s="101">
        <f>AF31/((1+'Economic parameters'!$C$40)^'Cash-Flow Model GeoVision'!AF5)</f>
        <v>-79040.264023944794</v>
      </c>
      <c r="AG32" s="101">
        <f>AG31/((1+'Economic parameters'!$C$40)^'Cash-Flow Model GeoVision'!AG5)</f>
        <v>-74962.314135000765</v>
      </c>
      <c r="AH32" s="101">
        <f>AH31/((1+'Economic parameters'!$C$40)^'Cash-Flow Model GeoVision'!AH5)</f>
        <v>-71094.759232739714</v>
      </c>
      <c r="AI32" s="101">
        <f>AI31/((1+'Economic parameters'!$C$40)^'Cash-Flow Model GeoVision'!AI5)</f>
        <v>-67426.744340610516</v>
      </c>
      <c r="AJ32" s="101">
        <f>AJ31/((1+'Economic parameters'!$C$40)^'Cash-Flow Model GeoVision'!AJ5)</f>
        <v>-63947.974526375678</v>
      </c>
      <c r="AK32" s="101">
        <f>AK31/((1+'Economic parameters'!$C$40)^'Cash-Flow Model GeoVision'!AK5)</f>
        <v>-60648.686007564182</v>
      </c>
      <c r="AL32" s="101">
        <f>AL31/((1+'Economic parameters'!$C$40)^'Cash-Flow Model GeoVision'!AL5)</f>
        <v>-57519.618747689856</v>
      </c>
      <c r="AM32" s="101">
        <f>AM31/((1+'Economic parameters'!$C$40)^'Cash-Flow Model GeoVision'!AM5)</f>
        <v>-54551.990466321942</v>
      </c>
      <c r="AN32" s="101">
        <f>AN31/((1+'Economic parameters'!$C$40)^'Cash-Flow Model GeoVision'!AN5)</f>
        <v>-51737.471990062542</v>
      </c>
      <c r="AO32" s="101">
        <f>AO31/((1+'Economic parameters'!$C$40)^'Cash-Flow Model GeoVision'!AO5)</f>
        <v>-49068.163875249003</v>
      </c>
      <c r="AP32" s="101">
        <f>AP31/((1+'Economic parameters'!$C$40)^'Cash-Flow Model GeoVision'!AP5)</f>
        <v>-46536.574236768771</v>
      </c>
      <c r="AQ32" s="101">
        <f>AQ31/((1+'Economic parameters'!$C$40)^'Cash-Flow Model GeoVision'!AQ5)</f>
        <v>-44135.59772075947</v>
      </c>
      <c r="AR32" s="101">
        <f>AR31/((1+'Economic parameters'!$C$40)^'Cash-Flow Model GeoVision'!AR5)</f>
        <v>-41858.495562177035</v>
      </c>
      <c r="AS32" s="101">
        <f>AS31/((1+'Economic parameters'!$C$40)^'Cash-Flow Model GeoVision'!AS5)</f>
        <v>-39698.876671260463</v>
      </c>
      <c r="AT32" s="101">
        <f>AT31/((1+'Economic parameters'!$C$40)^'Cash-Flow Model GeoVision'!AT5)</f>
        <v>-37650.679695808489</v>
      </c>
      <c r="AU32" s="101">
        <f>AU31/((1+'Economic parameters'!$C$40)^'Cash-Flow Model GeoVision'!AU5)</f>
        <v>-35708.15600892307</v>
      </c>
      <c r="AV32" s="101">
        <f>AV31/((1+'Economic parameters'!$C$40)^'Cash-Flow Model GeoVision'!AV5)</f>
        <v>-33865.853574471803</v>
      </c>
      <c r="AW32" s="101">
        <f>AW31/((1+'Economic parameters'!$C$40)^'Cash-Flow Model GeoVision'!AW5)</f>
        <v>-32118.601644984643</v>
      </c>
      <c r="AX32" s="101">
        <f>AX31/((1+'Economic parameters'!$C$40)^'Cash-Flow Model GeoVision'!AX5)</f>
        <v>-30461.496249037027</v>
      </c>
      <c r="AY32" s="101">
        <f>AY31/((1+'Economic parameters'!$C$40)^'Cash-Flow Model GeoVision'!AY5)</f>
        <v>-28889.88642738717</v>
      </c>
      <c r="AZ32" s="101">
        <f>AZ31/((1+'Economic parameters'!$C$40)^'Cash-Flow Model GeoVision'!AZ5)</f>
        <v>-27399.361179236694</v>
      </c>
      <c r="BA32" s="101">
        <f>BA31/((1+'Economic parameters'!$C$40)^'Cash-Flow Model GeoVision'!BA5)</f>
        <v>-25985.737081977135</v>
      </c>
      <c r="BB32" s="101">
        <f>BB31/((1+'Economic parameters'!$C$40)^'Cash-Flow Model GeoVision'!BB5)</f>
        <v>-24645.046549674829</v>
      </c>
      <c r="BC32" s="101">
        <f>BC31/((1+'Economic parameters'!$C$40)^'Cash-Flow Model GeoVision'!BC5)</f>
        <v>-23373.526697339556</v>
      </c>
      <c r="BD32" s="101">
        <f>BD31/((1+'Economic parameters'!$C$40)^'Cash-Flow Model GeoVision'!BD5)</f>
        <v>-22167.608779722646</v>
      </c>
      <c r="BE32" s="101">
        <f>BE31/((1+'Economic parameters'!$C$40)^'Cash-Flow Model GeoVision'!BE5)</f>
        <v>-21023.908175002511</v>
      </c>
    </row>
    <row r="33" spans="3:57" ht="14.7" customHeight="1">
      <c r="C33" s="403"/>
      <c r="D33" s="102" t="s">
        <v>153</v>
      </c>
      <c r="E33" s="103"/>
      <c r="F33" s="103"/>
      <c r="G33" s="103"/>
      <c r="H33" s="43">
        <f>-'Economic parameters'!$C$12*'Economic parameters'!$C$21</f>
        <v>-55257.388947957566</v>
      </c>
      <c r="I33" s="40">
        <f>-'Economic parameters'!$C$12*'Economic parameters'!$C$21</f>
        <v>-55257.388947957566</v>
      </c>
      <c r="J33" s="40">
        <f>-'Economic parameters'!$C$12*'Economic parameters'!$C$21</f>
        <v>-55257.388947957566</v>
      </c>
      <c r="K33" s="40">
        <f>-'Economic parameters'!$C$12*'Economic parameters'!$C$21</f>
        <v>-55257.388947957566</v>
      </c>
      <c r="L33" s="40">
        <f>-'Economic parameters'!$C$12*'Economic parameters'!$C$21</f>
        <v>-55257.388947957566</v>
      </c>
      <c r="M33" s="40">
        <f>-'Economic parameters'!$C$12*'Economic parameters'!$C$21</f>
        <v>-55257.388947957566</v>
      </c>
      <c r="N33" s="40">
        <f>-'Economic parameters'!$C$12*'Economic parameters'!$C$21</f>
        <v>-55257.388947957566</v>
      </c>
      <c r="O33" s="40">
        <f>-'Economic parameters'!$C$12*'Economic parameters'!$C$21</f>
        <v>-55257.388947957566</v>
      </c>
      <c r="P33" s="40">
        <f>-'Economic parameters'!$C$12*'Economic parameters'!$C$21</f>
        <v>-55257.388947957566</v>
      </c>
      <c r="Q33" s="40">
        <f>-'Economic parameters'!$C$12*'Economic parameters'!$C$21</f>
        <v>-55257.388947957566</v>
      </c>
      <c r="R33" s="40">
        <f>-'Economic parameters'!$C$12*'Economic parameters'!$C$21</f>
        <v>-55257.388947957566</v>
      </c>
      <c r="S33" s="40">
        <f>-'Economic parameters'!$C$12*'Economic parameters'!$C$21</f>
        <v>-55257.388947957566</v>
      </c>
      <c r="T33" s="40">
        <f>-'Economic parameters'!$C$12*'Economic parameters'!$C$21</f>
        <v>-55257.388947957566</v>
      </c>
      <c r="U33" s="40">
        <f>-'Economic parameters'!$C$12*'Economic parameters'!$C$21</f>
        <v>-55257.388947957566</v>
      </c>
      <c r="V33" s="40">
        <f>-'Economic parameters'!$C$12*'Economic parameters'!$C$21</f>
        <v>-55257.388947957566</v>
      </c>
      <c r="W33" s="40">
        <f>-'Economic parameters'!$C$12*'Economic parameters'!$C$21</f>
        <v>-55257.388947957566</v>
      </c>
      <c r="X33" s="40">
        <f>-'Economic parameters'!$C$12*'Economic parameters'!$C$21</f>
        <v>-55257.388947957566</v>
      </c>
      <c r="Y33" s="40">
        <f>-'Economic parameters'!$C$12*'Economic parameters'!$C$21</f>
        <v>-55257.388947957566</v>
      </c>
      <c r="Z33" s="40">
        <f>-'Economic parameters'!$C$12*'Economic parameters'!$C$21</f>
        <v>-55257.388947957566</v>
      </c>
      <c r="AA33" s="40">
        <f>-'Economic parameters'!$C$12*'Economic parameters'!$C$21</f>
        <v>-55257.388947957566</v>
      </c>
      <c r="AB33" s="40">
        <f>-'Economic parameters'!$C$12*'Economic parameters'!$C$21</f>
        <v>-55257.388947957566</v>
      </c>
      <c r="AC33" s="40">
        <f>-'Economic parameters'!$C$12*'Economic parameters'!$C$21</f>
        <v>-55257.388947957566</v>
      </c>
      <c r="AD33" s="40">
        <f>-'Economic parameters'!$C$12*'Economic parameters'!$C$21</f>
        <v>-55257.388947957566</v>
      </c>
      <c r="AE33" s="40">
        <f>-'Economic parameters'!$C$12*'Economic parameters'!$C$21</f>
        <v>-55257.388947957566</v>
      </c>
      <c r="AF33" s="40">
        <f>-'Economic parameters'!$C$12*'Economic parameters'!$C$21</f>
        <v>-55257.388947957566</v>
      </c>
      <c r="AG33" s="40">
        <f>-'Economic parameters'!$C$12*'Economic parameters'!$C$21</f>
        <v>-55257.388947957566</v>
      </c>
      <c r="AH33" s="40">
        <f>-'Economic parameters'!$C$12*'Economic parameters'!$C$21</f>
        <v>-55257.388947957566</v>
      </c>
      <c r="AI33" s="40">
        <f>-'Economic parameters'!$C$12*'Economic parameters'!$C$21</f>
        <v>-55257.388947957566</v>
      </c>
      <c r="AJ33" s="40">
        <f>-'Economic parameters'!$C$12*'Economic parameters'!$C$21</f>
        <v>-55257.388947957566</v>
      </c>
      <c r="AK33" s="40">
        <f>-'Economic parameters'!$C$12*'Economic parameters'!$C$21</f>
        <v>-55257.388947957566</v>
      </c>
      <c r="AL33" s="40">
        <f>-'Economic parameters'!$C$12*'Economic parameters'!$C$21</f>
        <v>-55257.388947957566</v>
      </c>
      <c r="AM33" s="40">
        <f>-'Economic parameters'!$C$12*'Economic parameters'!$C$21</f>
        <v>-55257.388947957566</v>
      </c>
      <c r="AN33" s="40">
        <f>-'Economic parameters'!$C$12*'Economic parameters'!$C$21</f>
        <v>-55257.388947957566</v>
      </c>
      <c r="AO33" s="40">
        <f>-'Economic parameters'!$C$12*'Economic parameters'!$C$21</f>
        <v>-55257.388947957566</v>
      </c>
      <c r="AP33" s="40">
        <f>-'Economic parameters'!$C$12*'Economic parameters'!$C$21</f>
        <v>-55257.388947957566</v>
      </c>
      <c r="AQ33" s="40">
        <f>-'Economic parameters'!$C$12*'Economic parameters'!$C$21</f>
        <v>-55257.388947957566</v>
      </c>
      <c r="AR33" s="40">
        <f>-'Economic parameters'!$C$12*'Economic parameters'!$C$21</f>
        <v>-55257.388947957566</v>
      </c>
      <c r="AS33" s="40">
        <f>-'Economic parameters'!$C$12*'Economic parameters'!$C$21</f>
        <v>-55257.388947957566</v>
      </c>
      <c r="AT33" s="40">
        <f>-'Economic parameters'!$C$12*'Economic parameters'!$C$21</f>
        <v>-55257.388947957566</v>
      </c>
      <c r="AU33" s="40">
        <f>-'Economic parameters'!$C$12*'Economic parameters'!$C$21</f>
        <v>-55257.388947957566</v>
      </c>
      <c r="AV33" s="40">
        <f>-'Economic parameters'!$C$12*'Economic parameters'!$C$21</f>
        <v>-55257.388947957566</v>
      </c>
      <c r="AW33" s="40">
        <f>-'Economic parameters'!$C$12*'Economic parameters'!$C$21</f>
        <v>-55257.388947957566</v>
      </c>
      <c r="AX33" s="40">
        <f>-'Economic parameters'!$C$12*'Economic parameters'!$C$21</f>
        <v>-55257.388947957566</v>
      </c>
      <c r="AY33" s="40">
        <f>-'Economic parameters'!$C$12*'Economic parameters'!$C$21</f>
        <v>-55257.388947957566</v>
      </c>
      <c r="AZ33" s="40">
        <f>-'Economic parameters'!$C$12*'Economic parameters'!$C$21</f>
        <v>-55257.388947957566</v>
      </c>
      <c r="BA33" s="40">
        <f>-'Economic parameters'!$C$12*'Economic parameters'!$C$21</f>
        <v>-55257.388947957566</v>
      </c>
      <c r="BB33" s="40">
        <f>-'Economic parameters'!$C$12*'Economic parameters'!$C$21</f>
        <v>-55257.388947957566</v>
      </c>
      <c r="BC33" s="40">
        <f>-'Economic parameters'!$C$12*'Economic parameters'!$C$21</f>
        <v>-55257.388947957566</v>
      </c>
      <c r="BD33" s="40">
        <f>-'Economic parameters'!$C$12*'Economic parameters'!$C$21</f>
        <v>-55257.388947957566</v>
      </c>
      <c r="BE33" s="40">
        <f>-'Economic parameters'!$C$12*'Economic parameters'!$C$21</f>
        <v>-55257.388947957566</v>
      </c>
    </row>
    <row r="34" spans="3:57" ht="14.7" customHeight="1">
      <c r="C34" s="403"/>
      <c r="D34" s="100" t="s">
        <v>173</v>
      </c>
      <c r="E34" s="39"/>
      <c r="F34" s="39"/>
      <c r="G34" s="39"/>
      <c r="H34" s="101">
        <f>H33/((1+'Economic parameters'!$C$40)^'Cash-Flow Model GeoVision'!H5)</f>
        <v>-47138.32732637247</v>
      </c>
      <c r="I34" s="101">
        <f>I33/((1+'Economic parameters'!$C$40)^'Cash-Flow Model GeoVision'!I5)</f>
        <v>-44706.304368714402</v>
      </c>
      <c r="J34" s="101">
        <f>J33/((1+'Economic parameters'!$C$40)^'Cash-Flow Model GeoVision'!J5)</f>
        <v>-42399.757557581943</v>
      </c>
      <c r="K34" s="101">
        <f>K33/((1+'Economic parameters'!$C$40)^'Cash-Flow Model GeoVision'!K5)</f>
        <v>-40212.213161591375</v>
      </c>
      <c r="L34" s="101">
        <f>L33/((1+'Economic parameters'!$C$40)^'Cash-Flow Model GeoVision'!L5)</f>
        <v>-38137.531450674673</v>
      </c>
      <c r="M34" s="101">
        <f>M33/((1+'Economic parameters'!$C$40)^'Cash-Flow Model GeoVision'!M5)</f>
        <v>-36169.88946384169</v>
      </c>
      <c r="N34" s="101">
        <f>N33/((1+'Economic parameters'!$C$40)^'Cash-Flow Model GeoVision'!N5)</f>
        <v>-34303.764666010706</v>
      </c>
      <c r="O34" s="101">
        <f>O33/((1+'Economic parameters'!$C$40)^'Cash-Flow Model GeoVision'!O5)</f>
        <v>-32533.919448037468</v>
      </c>
      <c r="P34" s="101">
        <f>P33/((1+'Economic parameters'!$C$40)^'Cash-Flow Model GeoVision'!P5)</f>
        <v>-30855.386426439178</v>
      </c>
      <c r="Q34" s="101">
        <f>Q33/((1+'Economic parameters'!$C$40)^'Cash-Flow Model GeoVision'!Q5)</f>
        <v>-29263.45450155461</v>
      </c>
      <c r="R34" s="101">
        <f>R33/((1+'Economic parameters'!$C$40)^'Cash-Flow Model GeoVision'!R5)</f>
        <v>-27753.655635010062</v>
      </c>
      <c r="S34" s="101">
        <f>S33/((1+'Economic parameters'!$C$40)^'Cash-Flow Model GeoVision'!S5)</f>
        <v>-26321.752309379801</v>
      </c>
      <c r="T34" s="101">
        <f>T33/((1+'Economic parameters'!$C$40)^'Cash-Flow Model GeoVision'!T5)</f>
        <v>-24963.725634844275</v>
      </c>
      <c r="U34" s="101">
        <f>U33/((1+'Economic parameters'!$C$40)^'Cash-Flow Model GeoVision'!U5)</f>
        <v>-23675.76406946536</v>
      </c>
      <c r="V34" s="101">
        <f>V33/((1+'Economic parameters'!$C$40)^'Cash-Flow Model GeoVision'!V5)</f>
        <v>-22454.252721420107</v>
      </c>
      <c r="W34" s="101">
        <f>W33/((1+'Economic parameters'!$C$40)^'Cash-Flow Model GeoVision'!W5)</f>
        <v>-21295.763203167779</v>
      </c>
      <c r="X34" s="101">
        <f>X33/((1+'Economic parameters'!$C$40)^'Cash-Flow Model GeoVision'!X5)</f>
        <v>-20197.044009074147</v>
      </c>
      <c r="Y34" s="101">
        <f>Y33/((1+'Economic parameters'!$C$40)^'Cash-Flow Model GeoVision'!Y5)</f>
        <v>-19155.011389486102</v>
      </c>
      <c r="Z34" s="101">
        <f>Z33/((1+'Economic parameters'!$C$40)^'Cash-Flow Model GeoVision'!Z5)</f>
        <v>-18166.740695643115</v>
      </c>
      <c r="AA34" s="101">
        <f>AA33/((1+'Economic parameters'!$C$40)^'Cash-Flow Model GeoVision'!AA5)</f>
        <v>-17229.458171133458</v>
      </c>
      <c r="AB34" s="101">
        <f>AB33/((1+'Economic parameters'!$C$40)^'Cash-Flow Model GeoVision'!AB5)</f>
        <v>-16340.533166856467</v>
      </c>
      <c r="AC34" s="101">
        <f>AC33/((1+'Economic parameters'!$C$40)^'Cash-Flow Model GeoVision'!AC5)</f>
        <v>-15497.470757640807</v>
      </c>
      <c r="AD34" s="101">
        <f>AD33/((1+'Economic parameters'!$C$40)^'Cash-Flow Model GeoVision'!AD5)</f>
        <v>-14697.904739795909</v>
      </c>
      <c r="AE34" s="101">
        <f>AE33/((1+'Economic parameters'!$C$40)^'Cash-Flow Model GeoVision'!AE5)</f>
        <v>-13939.59098994301</v>
      </c>
      <c r="AF34" s="101">
        <f>AF33/((1+'Economic parameters'!$C$40)^'Cash-Flow Model GeoVision'!AF5)</f>
        <v>-13220.401166486165</v>
      </c>
      <c r="AG34" s="101">
        <f>AG33/((1+'Economic parameters'!$C$40)^'Cash-Flow Model GeoVision'!AG5)</f>
        <v>-12538.316736045301</v>
      </c>
      <c r="AH34" s="101">
        <f>AH33/((1+'Economic parameters'!$C$40)^'Cash-Flow Model GeoVision'!AH5)</f>
        <v>-11891.42330808545</v>
      </c>
      <c r="AI34" s="101">
        <f>AI33/((1+'Economic parameters'!$C$40)^'Cash-Flow Model GeoVision'!AI5)</f>
        <v>-11277.905261841286</v>
      </c>
      <c r="AJ34" s="101">
        <f>AJ33/((1+'Economic parameters'!$C$40)^'Cash-Flow Model GeoVision'!AJ5)</f>
        <v>-10696.040650456456</v>
      </c>
      <c r="AK34" s="101">
        <f>AK33/((1+'Economic parameters'!$C$40)^'Cash-Flow Model GeoVision'!AK5)</f>
        <v>-10144.196368035333</v>
      </c>
      <c r="AL34" s="101">
        <f>AL33/((1+'Economic parameters'!$C$40)^'Cash-Flow Model GeoVision'!AL5)</f>
        <v>-9620.8235660426144</v>
      </c>
      <c r="AM34" s="101">
        <f>AM33/((1+'Economic parameters'!$C$40)^'Cash-Flow Model GeoVision'!AM5)</f>
        <v>-9124.4533061860911</v>
      </c>
      <c r="AN34" s="101">
        <f>AN33/((1+'Economic parameters'!$C$40)^'Cash-Flow Model GeoVision'!AN5)</f>
        <v>-8653.6924375816507</v>
      </c>
      <c r="AO34" s="101">
        <f>AO33/((1+'Economic parameters'!$C$40)^'Cash-Flow Model GeoVision'!AO5)</f>
        <v>-8207.2196866290324</v>
      </c>
      <c r="AP34" s="101">
        <f>AP33/((1+'Economic parameters'!$C$40)^'Cash-Flow Model GeoVision'!AP5)</f>
        <v>-7783.7819486238905</v>
      </c>
      <c r="AQ34" s="101">
        <f>AQ33/((1+'Economic parameters'!$C$40)^'Cash-Flow Model GeoVision'!AQ5)</f>
        <v>-7382.1907706979246</v>
      </c>
      <c r="AR34" s="101">
        <f>AR33/((1+'Economic parameters'!$C$40)^'Cash-Flow Model GeoVision'!AR5)</f>
        <v>-7001.3190162157862</v>
      </c>
      <c r="AS34" s="101">
        <f>AS33/((1+'Economic parameters'!$C$40)^'Cash-Flow Model GeoVision'!AS5)</f>
        <v>-6640.0977012668682</v>
      </c>
      <c r="AT34" s="101">
        <f>AT33/((1+'Economic parameters'!$C$40)^'Cash-Flow Model GeoVision'!AT5)</f>
        <v>-6297.5129943729789</v>
      </c>
      <c r="AU34" s="101">
        <f>AU33/((1+'Economic parameters'!$C$40)^'Cash-Flow Model GeoVision'!AU5)</f>
        <v>-5972.6033709910653</v>
      </c>
      <c r="AV34" s="101">
        <f>AV33/((1+'Economic parameters'!$C$40)^'Cash-Flow Model GeoVision'!AV5)</f>
        <v>-5664.4569148246064</v>
      </c>
      <c r="AW34" s="101">
        <f>AW33/((1+'Economic parameters'!$C$40)^'Cash-Flow Model GeoVision'!AW5)</f>
        <v>-5372.2087583693165</v>
      </c>
      <c r="AX34" s="101">
        <f>AX33/((1+'Economic parameters'!$C$40)^'Cash-Flow Model GeoVision'!AX5)</f>
        <v>-5095.0386555095938</v>
      </c>
      <c r="AY34" s="101">
        <f>AY33/((1+'Economic parameters'!$C$40)^'Cash-Flow Model GeoVision'!AY5)</f>
        <v>-4832.1686793528024</v>
      </c>
      <c r="AZ34" s="101">
        <f>AZ33/((1+'Economic parameters'!$C$40)^'Cash-Flow Model GeoVision'!AZ5)</f>
        <v>-4582.8610388399111</v>
      </c>
      <c r="BA34" s="101">
        <f>BA33/((1+'Economic parameters'!$C$40)^'Cash-Flow Model GeoVision'!BA5)</f>
        <v>-4346.4160080044676</v>
      </c>
      <c r="BB34" s="101">
        <f>BB33/((1+'Economic parameters'!$C$40)^'Cash-Flow Model GeoVision'!BB5)</f>
        <v>-4122.169962067971</v>
      </c>
      <c r="BC34" s="101">
        <f>BC33/((1+'Economic parameters'!$C$40)^'Cash-Flow Model GeoVision'!BC5)</f>
        <v>-3909.4935148596073</v>
      </c>
      <c r="BD34" s="101">
        <f>BD33/((1+'Economic parameters'!$C$40)^'Cash-Flow Model GeoVision'!BD5)</f>
        <v>-3707.7897523327088</v>
      </c>
      <c r="BE34" s="101">
        <f>BE33/((1+'Economic parameters'!$C$40)^'Cash-Flow Model GeoVision'!BE5)</f>
        <v>-3516.492557219944</v>
      </c>
    </row>
    <row r="35" spans="3:57" ht="14.7" customHeight="1">
      <c r="C35" s="403"/>
      <c r="D35" s="49" t="s">
        <v>168</v>
      </c>
      <c r="E35" s="42"/>
      <c r="F35" s="42"/>
      <c r="G35" s="42"/>
      <c r="H35" s="43">
        <f>-'Economic parameters'!$C$13*'Economic parameters'!$C$22</f>
        <v>-10000</v>
      </c>
      <c r="I35" s="43">
        <f>-'Economic parameters'!$C$13*'Economic parameters'!$C$22</f>
        <v>-10000</v>
      </c>
      <c r="J35" s="43">
        <f>-'Economic parameters'!$C$13*'Economic parameters'!$C$22</f>
        <v>-10000</v>
      </c>
      <c r="K35" s="43">
        <f>-'Economic parameters'!$C$13*'Economic parameters'!$C$22</f>
        <v>-10000</v>
      </c>
      <c r="L35" s="43">
        <f>-'Economic parameters'!$C$13*'Economic parameters'!$C$22</f>
        <v>-10000</v>
      </c>
      <c r="M35" s="43">
        <f>-'Economic parameters'!$C$13*'Economic parameters'!$C$22</f>
        <v>-10000</v>
      </c>
      <c r="N35" s="43">
        <f>-'Economic parameters'!$C$13*'Economic parameters'!$C$22</f>
        <v>-10000</v>
      </c>
      <c r="O35" s="43">
        <f>-'Economic parameters'!$C$13*'Economic parameters'!$C$22</f>
        <v>-10000</v>
      </c>
      <c r="P35" s="43">
        <f>-'Economic parameters'!$C$13*'Economic parameters'!$C$22</f>
        <v>-10000</v>
      </c>
      <c r="Q35" s="43">
        <f>-'Economic parameters'!$C$13*'Economic parameters'!$C$22</f>
        <v>-10000</v>
      </c>
      <c r="R35" s="43">
        <f>-'Economic parameters'!$C$13*'Economic parameters'!$C$22</f>
        <v>-10000</v>
      </c>
      <c r="S35" s="43">
        <f>-'Economic parameters'!$C$13*'Economic parameters'!$C$22</f>
        <v>-10000</v>
      </c>
      <c r="T35" s="43">
        <f>-'Economic parameters'!$C$13*'Economic parameters'!$C$22</f>
        <v>-10000</v>
      </c>
      <c r="U35" s="43">
        <f>-'Economic parameters'!$C$13*'Economic parameters'!$C$22</f>
        <v>-10000</v>
      </c>
      <c r="V35" s="43">
        <f>-'Economic parameters'!$C$13*'Economic parameters'!$C$22</f>
        <v>-10000</v>
      </c>
      <c r="W35" s="43">
        <f>-'Economic parameters'!$C$13*'Economic parameters'!$C$22</f>
        <v>-10000</v>
      </c>
      <c r="X35" s="43">
        <f>-'Economic parameters'!$C$13*'Economic parameters'!$C$22</f>
        <v>-10000</v>
      </c>
      <c r="Y35" s="43">
        <f>-'Economic parameters'!$C$13*'Economic parameters'!$C$22</f>
        <v>-10000</v>
      </c>
      <c r="Z35" s="43">
        <f>-'Economic parameters'!$C$13*'Economic parameters'!$C$22</f>
        <v>-10000</v>
      </c>
      <c r="AA35" s="43">
        <f>-'Economic parameters'!$C$13*'Economic parameters'!$C$22</f>
        <v>-10000</v>
      </c>
      <c r="AB35" s="43">
        <f>-'Economic parameters'!$C$13*'Economic parameters'!$C$22</f>
        <v>-10000</v>
      </c>
      <c r="AC35" s="43">
        <f>-'Economic parameters'!$C$13*'Economic parameters'!$C$22</f>
        <v>-10000</v>
      </c>
      <c r="AD35" s="43">
        <f>-'Economic parameters'!$C$13*'Economic parameters'!$C$22</f>
        <v>-10000</v>
      </c>
      <c r="AE35" s="43">
        <f>-'Economic parameters'!$C$13*'Economic parameters'!$C$22</f>
        <v>-10000</v>
      </c>
      <c r="AF35" s="43">
        <f>-'Economic parameters'!$C$13*'Economic parameters'!$C$22</f>
        <v>-10000</v>
      </c>
      <c r="AG35" s="43">
        <f>-'Economic parameters'!$C$13*'Economic parameters'!$C$22</f>
        <v>-10000</v>
      </c>
      <c r="AH35" s="43">
        <f>-'Economic parameters'!$C$13*'Economic parameters'!$C$22</f>
        <v>-10000</v>
      </c>
      <c r="AI35" s="43">
        <f>-'Economic parameters'!$C$13*'Economic parameters'!$C$22</f>
        <v>-10000</v>
      </c>
      <c r="AJ35" s="43">
        <f>-'Economic parameters'!$C$13*'Economic parameters'!$C$22</f>
        <v>-10000</v>
      </c>
      <c r="AK35" s="43">
        <f>-'Economic parameters'!$C$13*'Economic parameters'!$C$22</f>
        <v>-10000</v>
      </c>
      <c r="AL35" s="43">
        <f>-'Economic parameters'!$C$13*'Economic parameters'!$C$22</f>
        <v>-10000</v>
      </c>
      <c r="AM35" s="43">
        <f>-'Economic parameters'!$C$13*'Economic parameters'!$C$22</f>
        <v>-10000</v>
      </c>
      <c r="AN35" s="43">
        <f>-'Economic parameters'!$C$13*'Economic parameters'!$C$22</f>
        <v>-10000</v>
      </c>
      <c r="AO35" s="43">
        <f>-'Economic parameters'!$C$13*'Economic parameters'!$C$22</f>
        <v>-10000</v>
      </c>
      <c r="AP35" s="43">
        <f>-'Economic parameters'!$C$13*'Economic parameters'!$C$22</f>
        <v>-10000</v>
      </c>
      <c r="AQ35" s="43">
        <f>-'Economic parameters'!$C$13*'Economic parameters'!$C$22</f>
        <v>-10000</v>
      </c>
      <c r="AR35" s="43">
        <f>-'Economic parameters'!$C$13*'Economic parameters'!$C$22</f>
        <v>-10000</v>
      </c>
      <c r="AS35" s="43">
        <f>-'Economic parameters'!$C$13*'Economic parameters'!$C$22</f>
        <v>-10000</v>
      </c>
      <c r="AT35" s="43">
        <f>-'Economic parameters'!$C$13*'Economic parameters'!$C$22</f>
        <v>-10000</v>
      </c>
      <c r="AU35" s="43">
        <f>-'Economic parameters'!$C$13*'Economic parameters'!$C$22</f>
        <v>-10000</v>
      </c>
      <c r="AV35" s="43">
        <f>-'Economic parameters'!$C$13*'Economic parameters'!$C$22</f>
        <v>-10000</v>
      </c>
      <c r="AW35" s="43">
        <f>-'Economic parameters'!$C$13*'Economic parameters'!$C$22</f>
        <v>-10000</v>
      </c>
      <c r="AX35" s="43">
        <f>-'Economic parameters'!$C$13*'Economic parameters'!$C$22</f>
        <v>-10000</v>
      </c>
      <c r="AY35" s="43">
        <f>-'Economic parameters'!$C$13*'Economic parameters'!$C$22</f>
        <v>-10000</v>
      </c>
      <c r="AZ35" s="43">
        <f>-'Economic parameters'!$C$13*'Economic parameters'!$C$22</f>
        <v>-10000</v>
      </c>
      <c r="BA35" s="43">
        <f>-'Economic parameters'!$C$13*'Economic parameters'!$C$22</f>
        <v>-10000</v>
      </c>
      <c r="BB35" s="43">
        <f>-'Economic parameters'!$C$13*'Economic parameters'!$C$22</f>
        <v>-10000</v>
      </c>
      <c r="BC35" s="43">
        <f>-'Economic parameters'!$C$13*'Economic parameters'!$C$22</f>
        <v>-10000</v>
      </c>
      <c r="BD35" s="43">
        <f>-'Economic parameters'!$C$13*'Economic parameters'!$C$22</f>
        <v>-10000</v>
      </c>
      <c r="BE35" s="43">
        <f>-'Economic parameters'!$C$13*'Economic parameters'!$C$22</f>
        <v>-10000</v>
      </c>
    </row>
    <row r="36" spans="3:57" ht="14.7" customHeight="1">
      <c r="C36" s="403"/>
      <c r="D36" s="100" t="s">
        <v>173</v>
      </c>
      <c r="E36" s="42"/>
      <c r="F36" s="42"/>
      <c r="G36" s="42"/>
      <c r="H36" s="104">
        <f>H35/((1+'Economic parameters'!$C$40)^'Cash-Flow Model GeoVision'!H5)</f>
        <v>-8530.6830857983932</v>
      </c>
      <c r="I36" s="104">
        <f>I35/((1+'Economic parameters'!$C$40)^'Cash-Flow Model GeoVision'!I5)</f>
        <v>-8090.5567960910403</v>
      </c>
      <c r="J36" s="104">
        <f>J35/((1+'Economic parameters'!$C$40)^'Cash-Flow Model GeoVision'!J5)</f>
        <v>-7673.1380843048564</v>
      </c>
      <c r="K36" s="104">
        <f>K35/((1+'Economic parameters'!$C$40)^'Cash-Flow Model GeoVision'!K5)</f>
        <v>-7277.2553910326787</v>
      </c>
      <c r="L36" s="104">
        <f>L35/((1+'Economic parameters'!$C$40)^'Cash-Flow Model GeoVision'!L5)</f>
        <v>-6901.7976015105078</v>
      </c>
      <c r="M36" s="104">
        <f>M35/((1+'Economic parameters'!$C$40)^'Cash-Flow Model GeoVision'!M5)</f>
        <v>-6545.7109270774918</v>
      </c>
      <c r="N36" s="104">
        <f>N35/((1+'Economic parameters'!$C$40)^'Cash-Flow Model GeoVision'!N5)</f>
        <v>-6207.9959475317637</v>
      </c>
      <c r="O36" s="104">
        <f>O35/((1+'Economic parameters'!$C$40)^'Cash-Flow Model GeoVision'!O5)</f>
        <v>-5887.7048060809602</v>
      </c>
      <c r="P36" s="104">
        <f>P35/((1+'Economic parameters'!$C$40)^'Cash-Flow Model GeoVision'!P5)</f>
        <v>-5583.9385490145678</v>
      </c>
      <c r="Q36" s="104">
        <f>Q35/((1+'Economic parameters'!$C$40)^'Cash-Flow Model GeoVision'!Q5)</f>
        <v>-5295.8446026314186</v>
      </c>
      <c r="R36" s="104">
        <f>R35/((1+'Economic parameters'!$C$40)^'Cash-Flow Model GeoVision'!R5)</f>
        <v>-5022.614380340875</v>
      </c>
      <c r="S36" s="104">
        <f>S35/((1+'Economic parameters'!$C$40)^'Cash-Flow Model GeoVision'!S5)</f>
        <v>-4763.4810132216198</v>
      </c>
      <c r="T36" s="104">
        <f>T35/((1+'Economic parameters'!$C$40)^'Cash-Flow Model GeoVision'!T5)</f>
        <v>-4517.7171976684558</v>
      </c>
      <c r="U36" s="104">
        <f>U35/((1+'Economic parameters'!$C$40)^'Cash-Flow Model GeoVision'!U5)</f>
        <v>-4284.6331540861684</v>
      </c>
      <c r="V36" s="104">
        <f>V35/((1+'Economic parameters'!$C$40)^'Cash-Flow Model GeoVision'!V5)</f>
        <v>-4063.5746909011459</v>
      </c>
      <c r="W36" s="104">
        <f>W35/((1+'Economic parameters'!$C$40)^'Cash-Flow Model GeoVision'!W5)</f>
        <v>-3853.9213684570805</v>
      </c>
      <c r="X36" s="104">
        <f>X35/((1+'Economic parameters'!$C$40)^'Cash-Flow Model GeoVision'!X5)</f>
        <v>-3655.0847576413894</v>
      </c>
      <c r="Y36" s="104">
        <f>Y35/((1+'Economic parameters'!$C$40)^'Cash-Flow Model GeoVision'!Y5)</f>
        <v>-3466.5067883548841</v>
      </c>
      <c r="Z36" s="104">
        <f>Z35/((1+'Economic parameters'!$C$40)^'Cash-Flow Model GeoVision'!Z5)</f>
        <v>-3287.6581831893809</v>
      </c>
      <c r="AA36" s="104">
        <f>AA35/((1+'Economic parameters'!$C$40)^'Cash-Flow Model GeoVision'!AA5)</f>
        <v>-3118.0369719170917</v>
      </c>
      <c r="AB36" s="104">
        <f>AB35/((1+'Economic parameters'!$C$40)^'Cash-Flow Model GeoVision'!AB5)</f>
        <v>-2957.1670826224317</v>
      </c>
      <c r="AC36" s="104">
        <f>AC35/((1+'Economic parameters'!$C$40)^'Cash-Flow Model GeoVision'!AC5)</f>
        <v>-2804.5970055220332</v>
      </c>
      <c r="AD36" s="104">
        <f>AD35/((1+'Economic parameters'!$C$40)^'Cash-Flow Model GeoVision'!AD5)</f>
        <v>-2659.8985257227168</v>
      </c>
      <c r="AE36" s="104">
        <f>AE35/((1+'Economic parameters'!$C$40)^'Cash-Flow Model GeoVision'!AE5)</f>
        <v>-2522.6655213606955</v>
      </c>
      <c r="AF36" s="104">
        <f>AF35/((1+'Economic parameters'!$C$40)^'Cash-Flow Model GeoVision'!AF5)</f>
        <v>-2392.5128237487629</v>
      </c>
      <c r="AG36" s="104">
        <f>AG35/((1+'Economic parameters'!$C$40)^'Cash-Flow Model GeoVision'!AG5)</f>
        <v>-2269.0751363322865</v>
      </c>
      <c r="AH36" s="104">
        <f>AH35/((1+'Economic parameters'!$C$40)^'Cash-Flow Model GeoVision'!AH5)</f>
        <v>-2152.0060094198466</v>
      </c>
      <c r="AI36" s="104">
        <f>AI35/((1+'Economic parameters'!$C$40)^'Cash-Flow Model GeoVision'!AI5)</f>
        <v>-2040.9768678109324</v>
      </c>
      <c r="AJ36" s="104">
        <f>AJ35/((1+'Economic parameters'!$C$40)^'Cash-Flow Model GeoVision'!AJ5)</f>
        <v>-1935.6760885915519</v>
      </c>
      <c r="AK36" s="104">
        <f>AK35/((1+'Economic parameters'!$C$40)^'Cash-Flow Model GeoVision'!AK5)</f>
        <v>-1835.8081265094384</v>
      </c>
      <c r="AL36" s="104">
        <f>AL35/((1+'Economic parameters'!$C$40)^'Cash-Flow Model GeoVision'!AL5)</f>
        <v>-1741.09268447405</v>
      </c>
      <c r="AM36" s="104">
        <f>AM35/((1+'Economic parameters'!$C$40)^'Cash-Flow Model GeoVision'!AM5)</f>
        <v>-1651.2639268532341</v>
      </c>
      <c r="AN36" s="104">
        <f>AN35/((1+'Economic parameters'!$C$40)^'Cash-Flow Model GeoVision'!AN5)</f>
        <v>-1566.0697333585304</v>
      </c>
      <c r="AO36" s="104">
        <f>AO35/((1+'Economic parameters'!$C$40)^'Cash-Flow Model GeoVision'!AO5)</f>
        <v>-1485.2709914250099</v>
      </c>
      <c r="AP36" s="104">
        <f>AP35/((1+'Economic parameters'!$C$40)^'Cash-Flow Model GeoVision'!AP5)</f>
        <v>-1408.6409250995919</v>
      </c>
      <c r="AQ36" s="104">
        <f>AQ35/((1+'Economic parameters'!$C$40)^'Cash-Flow Model GeoVision'!AQ5)</f>
        <v>-1335.9644585542414</v>
      </c>
      <c r="AR36" s="104">
        <f>AR35/((1+'Economic parameters'!$C$40)^'Cash-Flow Model GeoVision'!AR5)</f>
        <v>-1267.0376124376342</v>
      </c>
      <c r="AS36" s="104">
        <f>AS35/((1+'Economic parameters'!$C$40)^'Cash-Flow Model GeoVision'!AS5)</f>
        <v>-1201.666931371049</v>
      </c>
      <c r="AT36" s="104">
        <f>AT35/((1+'Economic parameters'!$C$40)^'Cash-Flow Model GeoVision'!AT5)</f>
        <v>-1139.6689409816474</v>
      </c>
      <c r="AU36" s="104">
        <f>AU35/((1+'Economic parameters'!$C$40)^'Cash-Flow Model GeoVision'!AU5)</f>
        <v>-1080.8696329492104</v>
      </c>
      <c r="AV36" s="104">
        <f>AV35/((1+'Economic parameters'!$C$40)^'Cash-Flow Model GeoVision'!AV5)</f>
        <v>-1025.1039766210265</v>
      </c>
      <c r="AW36" s="104">
        <f>AW35/((1+'Economic parameters'!$C$40)^'Cash-Flow Model GeoVision'!AW5)</f>
        <v>-972.21545582419071</v>
      </c>
      <c r="AX36" s="104">
        <f>AX35/((1+'Economic parameters'!$C$40)^'Cash-Flow Model GeoVision'!AX5)</f>
        <v>-922.05562957529457</v>
      </c>
      <c r="AY36" s="104">
        <f>AY35/((1+'Economic parameters'!$C$40)^'Cash-Flow Model GeoVision'!AY5)</f>
        <v>-874.48371545456632</v>
      </c>
      <c r="AZ36" s="104">
        <f>AZ35/((1+'Economic parameters'!$C$40)^'Cash-Flow Model GeoVision'!AZ5)</f>
        <v>-829.36619447511976</v>
      </c>
      <c r="BA36" s="104">
        <f>BA35/((1+'Economic parameters'!$C$40)^'Cash-Flow Model GeoVision'!BA5)</f>
        <v>-786.57643633831537</v>
      </c>
      <c r="BB36" s="104">
        <f>BB35/((1+'Economic parameters'!$C$40)^'Cash-Flow Model GeoVision'!BB5)</f>
        <v>-745.99434402344036</v>
      </c>
      <c r="BC36" s="104">
        <f>BC35/((1+'Economic parameters'!$C$40)^'Cash-Flow Model GeoVision'!BC5)</f>
        <v>-707.50601671418838</v>
      </c>
      <c r="BD36" s="104">
        <f>BD35/((1+'Economic parameters'!$C$40)^'Cash-Flow Model GeoVision'!BD5)</f>
        <v>-671.00343011588438</v>
      </c>
      <c r="BE36" s="104">
        <f>BE35/((1+'Economic parameters'!$C$40)^'Cash-Flow Model GeoVision'!BE5)</f>
        <v>-636.38413326620298</v>
      </c>
    </row>
    <row r="37" spans="3:57" ht="7.35" customHeight="1">
      <c r="C37" s="50"/>
      <c r="D37" s="51"/>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row>
    <row r="38" spans="3:57">
      <c r="C38" s="401" t="s">
        <v>102</v>
      </c>
      <c r="D38" s="401"/>
      <c r="E38" s="52">
        <f>E29+E35+E31</f>
        <v>0</v>
      </c>
      <c r="F38" s="52">
        <f t="shared" ref="F38:G38" si="6">F29+F35+F31</f>
        <v>0</v>
      </c>
      <c r="G38" s="52">
        <f t="shared" si="6"/>
        <v>0</v>
      </c>
      <c r="H38" s="52">
        <f>H29+H35+H31+H33</f>
        <v>9923762.7160921413</v>
      </c>
      <c r="I38" s="52">
        <f t="shared" ref="I38:BE38" si="7">I29+I35+I31+I33</f>
        <v>9923762.7160921413</v>
      </c>
      <c r="J38" s="52">
        <f t="shared" si="7"/>
        <v>9923762.7160921413</v>
      </c>
      <c r="K38" s="52">
        <f t="shared" si="7"/>
        <v>9923762.7160921413</v>
      </c>
      <c r="L38" s="52">
        <f t="shared" si="7"/>
        <v>9923762.7160921413</v>
      </c>
      <c r="M38" s="52">
        <f t="shared" si="7"/>
        <v>9923762.7160921413</v>
      </c>
      <c r="N38" s="52">
        <f t="shared" si="7"/>
        <v>9923762.7160921413</v>
      </c>
      <c r="O38" s="52">
        <f t="shared" si="7"/>
        <v>9923762.7160921413</v>
      </c>
      <c r="P38" s="52">
        <f t="shared" si="7"/>
        <v>9923762.7160921413</v>
      </c>
      <c r="Q38" s="52">
        <f t="shared" si="7"/>
        <v>9923762.7160921413</v>
      </c>
      <c r="R38" s="52">
        <f t="shared" si="7"/>
        <v>9923762.7160921413</v>
      </c>
      <c r="S38" s="52">
        <f t="shared" si="7"/>
        <v>9923762.7160921413</v>
      </c>
      <c r="T38" s="52">
        <f t="shared" si="7"/>
        <v>9923762.7160921413</v>
      </c>
      <c r="U38" s="52">
        <f t="shared" si="7"/>
        <v>9923762.7160921413</v>
      </c>
      <c r="V38" s="52">
        <f t="shared" si="7"/>
        <v>9923762.7160921413</v>
      </c>
      <c r="W38" s="52">
        <f t="shared" si="7"/>
        <v>9923762.7160921413</v>
      </c>
      <c r="X38" s="52">
        <f t="shared" si="7"/>
        <v>9923762.7160921413</v>
      </c>
      <c r="Y38" s="52">
        <f t="shared" si="7"/>
        <v>9923762.7160921413</v>
      </c>
      <c r="Z38" s="52">
        <f t="shared" si="7"/>
        <v>9923762.7160921413</v>
      </c>
      <c r="AA38" s="52">
        <f t="shared" si="7"/>
        <v>9923762.7160921413</v>
      </c>
      <c r="AB38" s="52">
        <f t="shared" si="7"/>
        <v>9923762.7160921413</v>
      </c>
      <c r="AC38" s="52">
        <f t="shared" si="7"/>
        <v>9923762.7160921413</v>
      </c>
      <c r="AD38" s="52">
        <f t="shared" si="7"/>
        <v>9923762.7160921413</v>
      </c>
      <c r="AE38" s="52">
        <f t="shared" si="7"/>
        <v>9923762.7160921413</v>
      </c>
      <c r="AF38" s="52">
        <f t="shared" si="7"/>
        <v>9923762.7160921413</v>
      </c>
      <c r="AG38" s="52">
        <f t="shared" si="7"/>
        <v>9923762.7160921413</v>
      </c>
      <c r="AH38" s="52">
        <f t="shared" si="7"/>
        <v>9923762.7160921413</v>
      </c>
      <c r="AI38" s="52">
        <f t="shared" si="7"/>
        <v>9923762.7160921413</v>
      </c>
      <c r="AJ38" s="52">
        <f t="shared" si="7"/>
        <v>9923762.7160921413</v>
      </c>
      <c r="AK38" s="52">
        <f t="shared" si="7"/>
        <v>9923762.7160921413</v>
      </c>
      <c r="AL38" s="52">
        <f t="shared" si="7"/>
        <v>9923762.7160921413</v>
      </c>
      <c r="AM38" s="52">
        <f t="shared" si="7"/>
        <v>9923762.7160921413</v>
      </c>
      <c r="AN38" s="52">
        <f t="shared" si="7"/>
        <v>9923762.7160921413</v>
      </c>
      <c r="AO38" s="52">
        <f t="shared" si="7"/>
        <v>9923762.7160921413</v>
      </c>
      <c r="AP38" s="52">
        <f t="shared" si="7"/>
        <v>9923762.7160921413</v>
      </c>
      <c r="AQ38" s="52">
        <f t="shared" si="7"/>
        <v>9923762.7160921413</v>
      </c>
      <c r="AR38" s="52">
        <f t="shared" si="7"/>
        <v>9923762.7160921413</v>
      </c>
      <c r="AS38" s="52">
        <f t="shared" si="7"/>
        <v>9923762.7160921413</v>
      </c>
      <c r="AT38" s="52">
        <f t="shared" si="7"/>
        <v>9923762.7160921413</v>
      </c>
      <c r="AU38" s="52">
        <f t="shared" si="7"/>
        <v>9923762.7160921413</v>
      </c>
      <c r="AV38" s="52">
        <f t="shared" si="7"/>
        <v>9923762.7160921413</v>
      </c>
      <c r="AW38" s="52">
        <f t="shared" si="7"/>
        <v>9923762.7160921413</v>
      </c>
      <c r="AX38" s="52">
        <f t="shared" si="7"/>
        <v>9923762.7160921413</v>
      </c>
      <c r="AY38" s="52">
        <f t="shared" si="7"/>
        <v>9923762.7160921413</v>
      </c>
      <c r="AZ38" s="52">
        <f t="shared" si="7"/>
        <v>9923762.7160921413</v>
      </c>
      <c r="BA38" s="52">
        <f t="shared" si="7"/>
        <v>9923762.7160921413</v>
      </c>
      <c r="BB38" s="52">
        <f t="shared" si="7"/>
        <v>9923762.7160921413</v>
      </c>
      <c r="BC38" s="52">
        <f t="shared" si="7"/>
        <v>9923762.7160921413</v>
      </c>
      <c r="BD38" s="52">
        <f t="shared" si="7"/>
        <v>9923762.7160921413</v>
      </c>
      <c r="BE38" s="52">
        <f t="shared" si="7"/>
        <v>9923762.7160921413</v>
      </c>
    </row>
    <row r="39" spans="3:57" ht="7.35" customHeight="1">
      <c r="C39" s="53"/>
      <c r="D39" s="51"/>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row>
    <row r="40" spans="3:57">
      <c r="C40" s="54"/>
      <c r="D40" s="55" t="s">
        <v>37</v>
      </c>
      <c r="E40" s="56">
        <v>0</v>
      </c>
      <c r="F40" s="56">
        <v>0</v>
      </c>
      <c r="G40" s="56">
        <v>0</v>
      </c>
      <c r="H40" s="56">
        <f>IF(IPMT('Economic parameters'!$C$39,1,'Economic parameters'!$C$9,('Economic parameters'!$C$16*'Economic parameters'!$C$37-(('Economic parameters'!$C$16*'Economic parameters'!$C$37/'Economic parameters'!$C$9)*'Cash-Flow Model GeoVision'!H6)))&lt;0,IPMT('Economic parameters'!$C$39,1,'Economic parameters'!$C$9,('Economic parameters'!$C$16*'Economic parameters'!$C$37-(('Economic parameters'!$C$16*'Economic parameters'!$C$37/'Economic parameters'!$C$9)*'Cash-Flow Model GeoVision'!H6))),0)</f>
        <v>-6179900.1403403431</v>
      </c>
      <c r="I40" s="56">
        <f>IF(IPMT('Economic parameters'!$C$39,1,'Economic parameters'!$C$9,('Economic parameters'!$C$16*'Economic parameters'!$C$37-(('Economic parameters'!$C$16*'Economic parameters'!$C$37/'Economic parameters'!$C$9)*'Cash-Flow Model GeoVision'!I6)))&lt;0,IPMT('Economic parameters'!$C$39,1,'Economic parameters'!$C$9,('Economic parameters'!$C$16*'Economic parameters'!$C$37-(('Economic parameters'!$C$16*'Economic parameters'!$C$37/'Economic parameters'!$C$9)*'Cash-Flow Model GeoVision'!I6))),0)</f>
        <v>-5922404.3011594955</v>
      </c>
      <c r="J40" s="56">
        <f>IF(IPMT('Economic parameters'!$C$39,1,'Economic parameters'!$C$9,('Economic parameters'!$C$16*'Economic parameters'!$C$37-(('Economic parameters'!$C$16*'Economic parameters'!$C$37/'Economic parameters'!$C$9)*'Cash-Flow Model GeoVision'!J6)))&lt;0,IPMT('Economic parameters'!$C$39,1,'Economic parameters'!$C$9,('Economic parameters'!$C$16*'Economic parameters'!$C$37-(('Economic parameters'!$C$16*'Economic parameters'!$C$37/'Economic parameters'!$C$9)*'Cash-Flow Model GeoVision'!J6))),0)</f>
        <v>-5664908.4619786479</v>
      </c>
      <c r="K40" s="56">
        <f>IF(IPMT('Economic parameters'!$C$39,1,'Economic parameters'!$C$9,('Economic parameters'!$C$16*'Economic parameters'!$C$37-(('Economic parameters'!$C$16*'Economic parameters'!$C$37/'Economic parameters'!$C$9)*'Cash-Flow Model GeoVision'!K6)))&lt;0,IPMT('Economic parameters'!$C$39,1,'Economic parameters'!$C$9,('Economic parameters'!$C$16*'Economic parameters'!$C$37-(('Economic parameters'!$C$16*'Economic parameters'!$C$37/'Economic parameters'!$C$9)*'Cash-Flow Model GeoVision'!K6))),0)</f>
        <v>-5407412.6227978002</v>
      </c>
      <c r="L40" s="56">
        <f>IF(IPMT('Economic parameters'!$C$39,1,'Economic parameters'!$C$9,('Economic parameters'!$C$16*'Economic parameters'!$C$37-(('Economic parameters'!$C$16*'Economic parameters'!$C$37/'Economic parameters'!$C$9)*'Cash-Flow Model GeoVision'!L6)))&lt;0,IPMT('Economic parameters'!$C$39,1,'Economic parameters'!$C$9,('Economic parameters'!$C$16*'Economic parameters'!$C$37-(('Economic parameters'!$C$16*'Economic parameters'!$C$37/'Economic parameters'!$C$9)*'Cash-Flow Model GeoVision'!L6))),0)</f>
        <v>-5149916.7836169517</v>
      </c>
      <c r="M40" s="56">
        <f>IF(IPMT('Economic parameters'!$C$39,1,'Economic parameters'!$C$9,('Economic parameters'!$C$16*'Economic parameters'!$C$37-(('Economic parameters'!$C$16*'Economic parameters'!$C$37/'Economic parameters'!$C$9)*'Cash-Flow Model GeoVision'!M6)))&lt;0,IPMT('Economic parameters'!$C$39,1,'Economic parameters'!$C$9,('Economic parameters'!$C$16*'Economic parameters'!$C$37-(('Economic parameters'!$C$16*'Economic parameters'!$C$37/'Economic parameters'!$C$9)*'Cash-Flow Model GeoVision'!M6))),0)</f>
        <v>-4892420.944436105</v>
      </c>
      <c r="N40" s="56">
        <f>IF(IPMT('Economic parameters'!$C$39,1,'Economic parameters'!$C$9,('Economic parameters'!$C$16*'Economic parameters'!$C$37-(('Economic parameters'!$C$16*'Economic parameters'!$C$37/'Economic parameters'!$C$9)*'Cash-Flow Model GeoVision'!N6)))&lt;0,IPMT('Economic parameters'!$C$39,1,'Economic parameters'!$C$9,('Economic parameters'!$C$16*'Economic parameters'!$C$37-(('Economic parameters'!$C$16*'Economic parameters'!$C$37/'Economic parameters'!$C$9)*'Cash-Flow Model GeoVision'!N6))),0)</f>
        <v>-4634925.1052552564</v>
      </c>
      <c r="O40" s="56">
        <f>IF(IPMT('Economic parameters'!$C$39,1,'Economic parameters'!$C$9,('Economic parameters'!$C$16*'Economic parameters'!$C$37-(('Economic parameters'!$C$16*'Economic parameters'!$C$37/'Economic parameters'!$C$9)*'Cash-Flow Model GeoVision'!O6)))&lt;0,IPMT('Economic parameters'!$C$39,1,'Economic parameters'!$C$9,('Economic parameters'!$C$16*'Economic parameters'!$C$37-(('Economic parameters'!$C$16*'Economic parameters'!$C$37/'Economic parameters'!$C$9)*'Cash-Flow Model GeoVision'!O6))),0)</f>
        <v>-4377429.2660744097</v>
      </c>
      <c r="P40" s="56">
        <f>IF(IPMT('Economic parameters'!$C$39,1,'Economic parameters'!$C$9,('Economic parameters'!$C$16*'Economic parameters'!$C$37-(('Economic parameters'!$C$16*'Economic parameters'!$C$37/'Economic parameters'!$C$9)*'Cash-Flow Model GeoVision'!P6)))&lt;0,IPMT('Economic parameters'!$C$39,1,'Economic parameters'!$C$9,('Economic parameters'!$C$16*'Economic parameters'!$C$37-(('Economic parameters'!$C$16*'Economic parameters'!$C$37/'Economic parameters'!$C$9)*'Cash-Flow Model GeoVision'!P6))),0)</f>
        <v>-4119933.4268935611</v>
      </c>
      <c r="Q40" s="56">
        <f>IF(IPMT('Economic parameters'!$C$39,1,'Economic parameters'!$C$9,('Economic parameters'!$C$16*'Economic parameters'!$C$37-(('Economic parameters'!$C$16*'Economic parameters'!$C$37/'Economic parameters'!$C$9)*'Cash-Flow Model GeoVision'!Q6)))&lt;0,IPMT('Economic parameters'!$C$39,1,'Economic parameters'!$C$9,('Economic parameters'!$C$16*'Economic parameters'!$C$37-(('Economic parameters'!$C$16*'Economic parameters'!$C$37/'Economic parameters'!$C$9)*'Cash-Flow Model GeoVision'!Q6))),0)</f>
        <v>-3862437.587712714</v>
      </c>
      <c r="R40" s="56">
        <f>IF(IPMT('Economic parameters'!$C$39,1,'Economic parameters'!$C$9,('Economic parameters'!$C$16*'Economic parameters'!$C$37-(('Economic parameters'!$C$16*'Economic parameters'!$C$37/'Economic parameters'!$C$9)*'Cash-Flow Model GeoVision'!R6)))&lt;0,IPMT('Economic parameters'!$C$39,1,'Economic parameters'!$C$9,('Economic parameters'!$C$16*'Economic parameters'!$C$37-(('Economic parameters'!$C$16*'Economic parameters'!$C$37/'Economic parameters'!$C$9)*'Cash-Flow Model GeoVision'!R6))),0)</f>
        <v>-3604941.7485318664</v>
      </c>
      <c r="S40" s="56">
        <f>IF(IPMT('Economic parameters'!$C$39,1,'Economic parameters'!$C$9,('Economic parameters'!$C$16*'Economic parameters'!$C$37-(('Economic parameters'!$C$16*'Economic parameters'!$C$37/'Economic parameters'!$C$9)*'Cash-Flow Model GeoVision'!S6)))&lt;0,IPMT('Economic parameters'!$C$39,1,'Economic parameters'!$C$9,('Economic parameters'!$C$16*'Economic parameters'!$C$37-(('Economic parameters'!$C$16*'Economic parameters'!$C$37/'Economic parameters'!$C$9)*'Cash-Flow Model GeoVision'!S6))),0)</f>
        <v>-3347445.9093510192</v>
      </c>
      <c r="T40" s="56">
        <f>IF(IPMT('Economic parameters'!$C$39,1,'Economic parameters'!$C$9,('Economic parameters'!$C$16*'Economic parameters'!$C$37-(('Economic parameters'!$C$16*'Economic parameters'!$C$37/'Economic parameters'!$C$9)*'Cash-Flow Model GeoVision'!T6)))&lt;0,IPMT('Economic parameters'!$C$39,1,'Economic parameters'!$C$9,('Economic parameters'!$C$16*'Economic parameters'!$C$37-(('Economic parameters'!$C$16*'Economic parameters'!$C$37/'Economic parameters'!$C$9)*'Cash-Flow Model GeoVision'!T6))),0)</f>
        <v>-3089950.0701701716</v>
      </c>
      <c r="U40" s="56">
        <f>IF(IPMT('Economic parameters'!$C$39,1,'Economic parameters'!$C$9,('Economic parameters'!$C$16*'Economic parameters'!$C$37-(('Economic parameters'!$C$16*'Economic parameters'!$C$37/'Economic parameters'!$C$9)*'Cash-Flow Model GeoVision'!U6)))&lt;0,IPMT('Economic parameters'!$C$39,1,'Economic parameters'!$C$9,('Economic parameters'!$C$16*'Economic parameters'!$C$37-(('Economic parameters'!$C$16*'Economic parameters'!$C$37/'Economic parameters'!$C$9)*'Cash-Flow Model GeoVision'!U6))),0)</f>
        <v>-2832454.2309893239</v>
      </c>
      <c r="V40" s="56">
        <f>IF(IPMT('Economic parameters'!$C$39,1,'Economic parameters'!$C$9,('Economic parameters'!$C$16*'Economic parameters'!$C$37-(('Economic parameters'!$C$16*'Economic parameters'!$C$37/'Economic parameters'!$C$9)*'Cash-Flow Model GeoVision'!V6)))&lt;0,IPMT('Economic parameters'!$C$39,1,'Economic parameters'!$C$9,('Economic parameters'!$C$16*'Economic parameters'!$C$37-(('Economic parameters'!$C$16*'Economic parameters'!$C$37/'Economic parameters'!$C$9)*'Cash-Flow Model GeoVision'!V6))),0)</f>
        <v>-2574958.3918084758</v>
      </c>
      <c r="W40" s="56">
        <f>IF(IPMT('Economic parameters'!$C$39,1,'Economic parameters'!$C$9,('Economic parameters'!$C$16*'Economic parameters'!$C$37-(('Economic parameters'!$C$16*'Economic parameters'!$C$37/'Economic parameters'!$C$9)*'Cash-Flow Model GeoVision'!W6)))&lt;0,IPMT('Economic parameters'!$C$39,1,'Economic parameters'!$C$9,('Economic parameters'!$C$16*'Economic parameters'!$C$37-(('Economic parameters'!$C$16*'Economic parameters'!$C$37/'Economic parameters'!$C$9)*'Cash-Flow Model GeoVision'!W6))),0)</f>
        <v>-2317462.5526276282</v>
      </c>
      <c r="X40" s="56">
        <f>IF(IPMT('Economic parameters'!$C$39,1,'Economic parameters'!$C$9,('Economic parameters'!$C$16*'Economic parameters'!$C$37-(('Economic parameters'!$C$16*'Economic parameters'!$C$37/'Economic parameters'!$C$9)*'Cash-Flow Model GeoVision'!X6)))&lt;0,IPMT('Economic parameters'!$C$39,1,'Economic parameters'!$C$9,('Economic parameters'!$C$16*'Economic parameters'!$C$37-(('Economic parameters'!$C$16*'Economic parameters'!$C$37/'Economic parameters'!$C$9)*'Cash-Flow Model GeoVision'!X6))),0)</f>
        <v>-2059966.7134467806</v>
      </c>
      <c r="Y40" s="56">
        <f>IF(IPMT('Economic parameters'!$C$39,1,'Economic parameters'!$C$9,('Economic parameters'!$C$16*'Economic parameters'!$C$37-(('Economic parameters'!$C$16*'Economic parameters'!$C$37/'Economic parameters'!$C$9)*'Cash-Flow Model GeoVision'!Y6)))&lt;0,IPMT('Economic parameters'!$C$39,1,'Economic parameters'!$C$9,('Economic parameters'!$C$16*'Economic parameters'!$C$37-(('Economic parameters'!$C$16*'Economic parameters'!$C$37/'Economic parameters'!$C$9)*'Cash-Flow Model GeoVision'!Y6))),0)</f>
        <v>-1802470.8742659329</v>
      </c>
      <c r="Z40" s="56">
        <f>IF(IPMT('Economic parameters'!$C$39,1,'Economic parameters'!$C$9,('Economic parameters'!$C$16*'Economic parameters'!$C$37-(('Economic parameters'!$C$16*'Economic parameters'!$C$37/'Economic parameters'!$C$9)*'Cash-Flow Model GeoVision'!Z6)))&lt;0,IPMT('Economic parameters'!$C$39,1,'Economic parameters'!$C$9,('Economic parameters'!$C$16*'Economic parameters'!$C$37-(('Economic parameters'!$C$16*'Economic parameters'!$C$37/'Economic parameters'!$C$9)*'Cash-Flow Model GeoVision'!Z6))),0)</f>
        <v>-1544975.0350850853</v>
      </c>
      <c r="AA40" s="56">
        <f>IF(IPMT('Economic parameters'!$C$39,1,'Economic parameters'!$C$9,('Economic parameters'!$C$16*'Economic parameters'!$C$37-(('Economic parameters'!$C$16*'Economic parameters'!$C$37/'Economic parameters'!$C$9)*'Cash-Flow Model GeoVision'!AA6)))&lt;0,IPMT('Economic parameters'!$C$39,1,'Economic parameters'!$C$9,('Economic parameters'!$C$16*'Economic parameters'!$C$37-(('Economic parameters'!$C$16*'Economic parameters'!$C$37/'Economic parameters'!$C$9)*'Cash-Flow Model GeoVision'!AA6))),0)</f>
        <v>-1287479.1959042377</v>
      </c>
      <c r="AB40" s="56">
        <f>IF(IPMT('Economic parameters'!$C$39,1,'Economic parameters'!$C$9,('Economic parameters'!$C$16*'Economic parameters'!$C$37-(('Economic parameters'!$C$16*'Economic parameters'!$C$37/'Economic parameters'!$C$9)*'Cash-Flow Model GeoVision'!AB6)))&lt;0,IPMT('Economic parameters'!$C$39,1,'Economic parameters'!$C$9,('Economic parameters'!$C$16*'Economic parameters'!$C$37-(('Economic parameters'!$C$16*'Economic parameters'!$C$37/'Economic parameters'!$C$9)*'Cash-Flow Model GeoVision'!AB6))),0)</f>
        <v>-1029983.3567233899</v>
      </c>
      <c r="AC40" s="56">
        <f>IF(IPMT('Economic parameters'!$C$39,1,'Economic parameters'!$C$9,('Economic parameters'!$C$16*'Economic parameters'!$C$37-(('Economic parameters'!$C$16*'Economic parameters'!$C$37/'Economic parameters'!$C$9)*'Cash-Flow Model GeoVision'!AC6)))&lt;0,IPMT('Economic parameters'!$C$39,1,'Economic parameters'!$C$9,('Economic parameters'!$C$16*'Economic parameters'!$C$37-(('Economic parameters'!$C$16*'Economic parameters'!$C$37/'Economic parameters'!$C$9)*'Cash-Flow Model GeoVision'!AC6))),0)</f>
        <v>-772487.51754254219</v>
      </c>
      <c r="AD40" s="56">
        <f>IF(IPMT('Economic parameters'!$C$39,1,'Economic parameters'!$C$9,('Economic parameters'!$C$16*'Economic parameters'!$C$37-(('Economic parameters'!$C$16*'Economic parameters'!$C$37/'Economic parameters'!$C$9)*'Cash-Flow Model GeoVision'!AD6)))&lt;0,IPMT('Economic parameters'!$C$39,1,'Economic parameters'!$C$9,('Economic parameters'!$C$16*'Economic parameters'!$C$37-(('Economic parameters'!$C$16*'Economic parameters'!$C$37/'Economic parameters'!$C$9)*'Cash-Flow Model GeoVision'!AD6))),0)</f>
        <v>-514991.6783616945</v>
      </c>
      <c r="AE40" s="56">
        <f>IF(IPMT('Economic parameters'!$C$39,1,'Economic parameters'!$C$9,('Economic parameters'!$C$16*'Economic parameters'!$C$37-(('Economic parameters'!$C$16*'Economic parameters'!$C$37/'Economic parameters'!$C$9)*'Cash-Flow Model GeoVision'!AE6)))&lt;0,IPMT('Economic parameters'!$C$39,1,'Economic parameters'!$C$9,('Economic parameters'!$C$16*'Economic parameters'!$C$37-(('Economic parameters'!$C$16*'Economic parameters'!$C$37/'Economic parameters'!$C$9)*'Cash-Flow Model GeoVision'!AE6))),0)</f>
        <v>-257495.83918084769</v>
      </c>
      <c r="AF40" s="56">
        <f>IF(IPMT('Economic parameters'!$C$39,1,'Economic parameters'!$C$9,('Economic parameters'!$C$16*'Economic parameters'!$C$37-(('Economic parameters'!$C$16*'Economic parameters'!$C$37/'Economic parameters'!$C$9)*'Cash-Flow Model GeoVision'!AF6)))&lt;0,IPMT('Economic parameters'!$C$39,1,'Economic parameters'!$C$9,('Economic parameters'!$C$16*'Economic parameters'!$C$37-(('Economic parameters'!$C$16*'Economic parameters'!$C$37/'Economic parameters'!$C$9)*'Cash-Flow Model GeoVision'!AF6))),0)</f>
        <v>0</v>
      </c>
      <c r="AG40" s="56">
        <f>IF(IPMT('Economic parameters'!$C$39,1,'Economic parameters'!$C$9,('Economic parameters'!$C$16*'Economic parameters'!$C$37-(('Economic parameters'!$C$16*'Economic parameters'!$C$37/'Economic parameters'!$C$9)*'Cash-Flow Model GeoVision'!AG6)))&lt;0,IPMT('Economic parameters'!$C$39,1,'Economic parameters'!$C$9,('Economic parameters'!$C$16*'Economic parameters'!$C$37-(('Economic parameters'!$C$16*'Economic parameters'!$C$37/'Economic parameters'!$C$9)*'Cash-Flow Model GeoVision'!AG6))),0)</f>
        <v>0</v>
      </c>
      <c r="AH40" s="56">
        <f>IF(IPMT('Economic parameters'!$C$39,1,'Economic parameters'!$C$9,('Economic parameters'!$C$16*'Economic parameters'!$C$37-(('Economic parameters'!$C$16*'Economic parameters'!$C$37/'Economic parameters'!$C$9)*'Cash-Flow Model GeoVision'!AH6)))&lt;0,IPMT('Economic parameters'!$C$39,1,'Economic parameters'!$C$9,('Economic parameters'!$C$16*'Economic parameters'!$C$37-(('Economic parameters'!$C$16*'Economic parameters'!$C$37/'Economic parameters'!$C$9)*'Cash-Flow Model GeoVision'!AH6))),0)</f>
        <v>0</v>
      </c>
      <c r="AI40" s="56">
        <f>IF(IPMT('Economic parameters'!$C$39,1,'Economic parameters'!$C$9,('Economic parameters'!$C$16*'Economic parameters'!$C$37-(('Economic parameters'!$C$16*'Economic parameters'!$C$37/'Economic parameters'!$C$9)*'Cash-Flow Model GeoVision'!AI6)))&lt;0,IPMT('Economic parameters'!$C$39,1,'Economic parameters'!$C$9,('Economic parameters'!$C$16*'Economic parameters'!$C$37-(('Economic parameters'!$C$16*'Economic parameters'!$C$37/'Economic parameters'!$C$9)*'Cash-Flow Model GeoVision'!AI6))),0)</f>
        <v>0</v>
      </c>
      <c r="AJ40" s="56">
        <f>IF(IPMT('Economic parameters'!$C$39,1,'Economic parameters'!$C$9,('Economic parameters'!$C$16*'Economic parameters'!$C$37-(('Economic parameters'!$C$16*'Economic parameters'!$C$37/'Economic parameters'!$C$9)*'Cash-Flow Model GeoVision'!AJ6)))&lt;0,IPMT('Economic parameters'!$C$39,1,'Economic parameters'!$C$9,('Economic parameters'!$C$16*'Economic parameters'!$C$37-(('Economic parameters'!$C$16*'Economic parameters'!$C$37/'Economic parameters'!$C$9)*'Cash-Flow Model GeoVision'!AJ6))),0)</f>
        <v>0</v>
      </c>
      <c r="AK40" s="56">
        <f>IF(IPMT('Economic parameters'!$C$39,1,'Economic parameters'!$C$9,('Economic parameters'!$C$16*'Economic parameters'!$C$37-(('Economic parameters'!$C$16*'Economic parameters'!$C$37/'Economic parameters'!$C$9)*'Cash-Flow Model GeoVision'!AK6)))&lt;0,IPMT('Economic parameters'!$C$39,1,'Economic parameters'!$C$9,('Economic parameters'!$C$16*'Economic parameters'!$C$37-(('Economic parameters'!$C$16*'Economic parameters'!$C$37/'Economic parameters'!$C$9)*'Cash-Flow Model GeoVision'!AK6))),0)</f>
        <v>0</v>
      </c>
      <c r="AL40" s="56">
        <f>IF(IPMT('Economic parameters'!$C$39,1,'Economic parameters'!$C$9,('Economic parameters'!$C$16*'Economic parameters'!$C$37-(('Economic parameters'!$C$16*'Economic parameters'!$C$37/'Economic parameters'!$C$9)*'Cash-Flow Model GeoVision'!AL6)))&lt;0,IPMT('Economic parameters'!$C$39,1,'Economic parameters'!$C$9,('Economic parameters'!$C$16*'Economic parameters'!$C$37-(('Economic parameters'!$C$16*'Economic parameters'!$C$37/'Economic parameters'!$C$9)*'Cash-Flow Model GeoVision'!AL6))),0)</f>
        <v>0</v>
      </c>
      <c r="AM40" s="56">
        <f>IF(IPMT('Economic parameters'!$C$39,1,'Economic parameters'!$C$9,('Economic parameters'!$C$16*'Economic parameters'!$C$37-(('Economic parameters'!$C$16*'Economic parameters'!$C$37/'Economic parameters'!$C$9)*'Cash-Flow Model GeoVision'!AM6)))&lt;0,IPMT('Economic parameters'!$C$39,1,'Economic parameters'!$C$9,('Economic parameters'!$C$16*'Economic parameters'!$C$37-(('Economic parameters'!$C$16*'Economic parameters'!$C$37/'Economic parameters'!$C$9)*'Cash-Flow Model GeoVision'!AM6))),0)</f>
        <v>0</v>
      </c>
      <c r="AN40" s="56">
        <f>IF(IPMT('Economic parameters'!$C$39,1,'Economic parameters'!$C$9,('Economic parameters'!$C$16*'Economic parameters'!$C$37-(('Economic parameters'!$C$16*'Economic parameters'!$C$37/'Economic parameters'!$C$9)*'Cash-Flow Model GeoVision'!AN6)))&lt;0,IPMT('Economic parameters'!$C$39,1,'Economic parameters'!$C$9,('Economic parameters'!$C$16*'Economic parameters'!$C$37-(('Economic parameters'!$C$16*'Economic parameters'!$C$37/'Economic parameters'!$C$9)*'Cash-Flow Model GeoVision'!AN6))),0)</f>
        <v>0</v>
      </c>
      <c r="AO40" s="56">
        <f>IF(IPMT('Economic parameters'!$C$39,1,'Economic parameters'!$C$9,('Economic parameters'!$C$16*'Economic parameters'!$C$37-(('Economic parameters'!$C$16*'Economic parameters'!$C$37/'Economic parameters'!$C$9)*'Cash-Flow Model GeoVision'!AO6)))&lt;0,IPMT('Economic parameters'!$C$39,1,'Economic parameters'!$C$9,('Economic parameters'!$C$16*'Economic parameters'!$C$37-(('Economic parameters'!$C$16*'Economic parameters'!$C$37/'Economic parameters'!$C$9)*'Cash-Flow Model GeoVision'!AO6))),0)</f>
        <v>0</v>
      </c>
      <c r="AP40" s="56">
        <f>IF(IPMT('Economic parameters'!$C$39,1,'Economic parameters'!$C$9,('Economic parameters'!$C$16*'Economic parameters'!$C$37-(('Economic parameters'!$C$16*'Economic parameters'!$C$37/'Economic parameters'!$C$9)*'Cash-Flow Model GeoVision'!AP6)))&lt;0,IPMT('Economic parameters'!$C$39,1,'Economic parameters'!$C$9,('Economic parameters'!$C$16*'Economic parameters'!$C$37-(('Economic parameters'!$C$16*'Economic parameters'!$C$37/'Economic parameters'!$C$9)*'Cash-Flow Model GeoVision'!AP6))),0)</f>
        <v>0</v>
      </c>
      <c r="AQ40" s="56">
        <f>IF(IPMT('Economic parameters'!$C$39,1,'Economic parameters'!$C$9,('Economic parameters'!$C$16*'Economic parameters'!$C$37-(('Economic parameters'!$C$16*'Economic parameters'!$C$37/'Economic parameters'!$C$9)*'Cash-Flow Model GeoVision'!AQ6)))&lt;0,IPMT('Economic parameters'!$C$39,1,'Economic parameters'!$C$9,('Economic parameters'!$C$16*'Economic parameters'!$C$37-(('Economic parameters'!$C$16*'Economic parameters'!$C$37/'Economic parameters'!$C$9)*'Cash-Flow Model GeoVision'!AQ6))),0)</f>
        <v>0</v>
      </c>
      <c r="AR40" s="56">
        <f>IF(IPMT('Economic parameters'!$C$39,1,'Economic parameters'!$C$9,('Economic parameters'!$C$16*'Economic parameters'!$C$37-(('Economic parameters'!$C$16*'Economic parameters'!$C$37/'Economic parameters'!$C$9)*'Cash-Flow Model GeoVision'!AR6)))&lt;0,IPMT('Economic parameters'!$C$39,1,'Economic parameters'!$C$9,('Economic parameters'!$C$16*'Economic parameters'!$C$37-(('Economic parameters'!$C$16*'Economic parameters'!$C$37/'Economic parameters'!$C$9)*'Cash-Flow Model GeoVision'!AR6))),0)</f>
        <v>0</v>
      </c>
      <c r="AS40" s="56">
        <f>IF(IPMT('Economic parameters'!$C$39,1,'Economic parameters'!$C$9,('Economic parameters'!$C$16*'Economic parameters'!$C$37-(('Economic parameters'!$C$16*'Economic parameters'!$C$37/'Economic parameters'!$C$9)*'Cash-Flow Model GeoVision'!AS6)))&lt;0,IPMT('Economic parameters'!$C$39,1,'Economic parameters'!$C$9,('Economic parameters'!$C$16*'Economic parameters'!$C$37-(('Economic parameters'!$C$16*'Economic parameters'!$C$37/'Economic parameters'!$C$9)*'Cash-Flow Model GeoVision'!AS6))),0)</f>
        <v>0</v>
      </c>
      <c r="AT40" s="56">
        <f>IF(IPMT('Economic parameters'!$C$39,1,'Economic parameters'!$C$9,('Economic parameters'!$C$16*'Economic parameters'!$C$37-(('Economic parameters'!$C$16*'Economic parameters'!$C$37/'Economic parameters'!$C$9)*'Cash-Flow Model GeoVision'!AT6)))&lt;0,IPMT('Economic parameters'!$C$39,1,'Economic parameters'!$C$9,('Economic parameters'!$C$16*'Economic parameters'!$C$37-(('Economic parameters'!$C$16*'Economic parameters'!$C$37/'Economic parameters'!$C$9)*'Cash-Flow Model GeoVision'!AT6))),0)</f>
        <v>0</v>
      </c>
      <c r="AU40" s="56">
        <f>IF(IPMT('Economic parameters'!$C$39,1,'Economic parameters'!$C$9,('Economic parameters'!$C$16*'Economic parameters'!$C$37-(('Economic parameters'!$C$16*'Economic parameters'!$C$37/'Economic parameters'!$C$9)*'Cash-Flow Model GeoVision'!AU6)))&lt;0,IPMT('Economic parameters'!$C$39,1,'Economic parameters'!$C$9,('Economic parameters'!$C$16*'Economic parameters'!$C$37-(('Economic parameters'!$C$16*'Economic parameters'!$C$37/'Economic parameters'!$C$9)*'Cash-Flow Model GeoVision'!AU6))),0)</f>
        <v>0</v>
      </c>
      <c r="AV40" s="56">
        <f>IF(IPMT('Economic parameters'!$C$39,1,'Economic parameters'!$C$9,('Economic parameters'!$C$16*'Economic parameters'!$C$37-(('Economic parameters'!$C$16*'Economic parameters'!$C$37/'Economic parameters'!$C$9)*'Cash-Flow Model GeoVision'!AV6)))&lt;0,IPMT('Economic parameters'!$C$39,1,'Economic parameters'!$C$9,('Economic parameters'!$C$16*'Economic parameters'!$C$37-(('Economic parameters'!$C$16*'Economic parameters'!$C$37/'Economic parameters'!$C$9)*'Cash-Flow Model GeoVision'!AV6))),0)</f>
        <v>0</v>
      </c>
      <c r="AW40" s="56">
        <f>IF(IPMT('Economic parameters'!$C$39,1,'Economic parameters'!$C$9,('Economic parameters'!$C$16*'Economic parameters'!$C$37-(('Economic parameters'!$C$16*'Economic parameters'!$C$37/'Economic parameters'!$C$9)*'Cash-Flow Model GeoVision'!AW6)))&lt;0,IPMT('Economic parameters'!$C$39,1,'Economic parameters'!$C$9,('Economic parameters'!$C$16*'Economic parameters'!$C$37-(('Economic parameters'!$C$16*'Economic parameters'!$C$37/'Economic parameters'!$C$9)*'Cash-Flow Model GeoVision'!AW6))),0)</f>
        <v>0</v>
      </c>
      <c r="AX40" s="56">
        <f>IF(IPMT('Economic parameters'!$C$39,1,'Economic parameters'!$C$9,('Economic parameters'!$C$16*'Economic parameters'!$C$37-(('Economic parameters'!$C$16*'Economic parameters'!$C$37/'Economic parameters'!$C$9)*'Cash-Flow Model GeoVision'!AX6)))&lt;0,IPMT('Economic parameters'!$C$39,1,'Economic parameters'!$C$9,('Economic parameters'!$C$16*'Economic parameters'!$C$37-(('Economic parameters'!$C$16*'Economic parameters'!$C$37/'Economic parameters'!$C$9)*'Cash-Flow Model GeoVision'!AX6))),0)</f>
        <v>0</v>
      </c>
      <c r="AY40" s="56">
        <f>IF(IPMT('Economic parameters'!$C$39,1,'Economic parameters'!$C$9,('Economic parameters'!$C$16*'Economic parameters'!$C$37-(('Economic parameters'!$C$16*'Economic parameters'!$C$37/'Economic parameters'!$C$9)*'Cash-Flow Model GeoVision'!AY6)))&lt;0,IPMT('Economic parameters'!$C$39,1,'Economic parameters'!$C$9,('Economic parameters'!$C$16*'Economic parameters'!$C$37-(('Economic parameters'!$C$16*'Economic parameters'!$C$37/'Economic parameters'!$C$9)*'Cash-Flow Model GeoVision'!AY6))),0)</f>
        <v>0</v>
      </c>
      <c r="AZ40" s="56">
        <f>IF(IPMT('Economic parameters'!$C$39,1,'Economic parameters'!$C$9,('Economic parameters'!$C$16*'Economic parameters'!$C$37-(('Economic parameters'!$C$16*'Economic parameters'!$C$37/'Economic parameters'!$C$9)*'Cash-Flow Model GeoVision'!AZ6)))&lt;0,IPMT('Economic parameters'!$C$39,1,'Economic parameters'!$C$9,('Economic parameters'!$C$16*'Economic parameters'!$C$37-(('Economic parameters'!$C$16*'Economic parameters'!$C$37/'Economic parameters'!$C$9)*'Cash-Flow Model GeoVision'!AZ6))),0)</f>
        <v>0</v>
      </c>
      <c r="BA40" s="56">
        <f>IF(IPMT('Economic parameters'!$C$39,1,'Economic parameters'!$C$9,('Economic parameters'!$C$16*'Economic parameters'!$C$37-(('Economic parameters'!$C$16*'Economic parameters'!$C$37/'Economic parameters'!$C$9)*'Cash-Flow Model GeoVision'!BA6)))&lt;0,IPMT('Economic parameters'!$C$39,1,'Economic parameters'!$C$9,('Economic parameters'!$C$16*'Economic parameters'!$C$37-(('Economic parameters'!$C$16*'Economic parameters'!$C$37/'Economic parameters'!$C$9)*'Cash-Flow Model GeoVision'!BA6))),0)</f>
        <v>0</v>
      </c>
      <c r="BB40" s="56">
        <f>IF(IPMT('Economic parameters'!$C$39,1,'Economic parameters'!$C$9,('Economic parameters'!$C$16*'Economic parameters'!$C$37-(('Economic parameters'!$C$16*'Economic parameters'!$C$37/'Economic parameters'!$C$9)*'Cash-Flow Model GeoVision'!BB6)))&lt;0,IPMT('Economic parameters'!$C$39,1,'Economic parameters'!$C$9,('Economic parameters'!$C$16*'Economic parameters'!$C$37-(('Economic parameters'!$C$16*'Economic parameters'!$C$37/'Economic parameters'!$C$9)*'Cash-Flow Model GeoVision'!BB6))),0)</f>
        <v>0</v>
      </c>
      <c r="BC40" s="56">
        <f>IF(IPMT('Economic parameters'!$C$39,1,'Economic parameters'!$C$9,('Economic parameters'!$C$16*'Economic parameters'!$C$37-(('Economic parameters'!$C$16*'Economic parameters'!$C$37/'Economic parameters'!$C$9)*'Cash-Flow Model GeoVision'!BC6)))&lt;0,IPMT('Economic parameters'!$C$39,1,'Economic parameters'!$C$9,('Economic parameters'!$C$16*'Economic parameters'!$C$37-(('Economic parameters'!$C$16*'Economic parameters'!$C$37/'Economic parameters'!$C$9)*'Cash-Flow Model GeoVision'!BC6))),0)</f>
        <v>0</v>
      </c>
      <c r="BD40" s="56">
        <f>IF(IPMT('Economic parameters'!$C$39,1,'Economic parameters'!$C$9,('Economic parameters'!$C$16*'Economic parameters'!$C$37-(('Economic parameters'!$C$16*'Economic parameters'!$C$37/'Economic parameters'!$C$9)*'Cash-Flow Model GeoVision'!BD6)))&lt;0,IPMT('Economic parameters'!$C$39,1,'Economic parameters'!$C$9,('Economic parameters'!$C$16*'Economic parameters'!$C$37-(('Economic parameters'!$C$16*'Economic parameters'!$C$37/'Economic parameters'!$C$9)*'Cash-Flow Model GeoVision'!BD6))),0)</f>
        <v>0</v>
      </c>
      <c r="BE40" s="56">
        <f>IF(IPMT('Economic parameters'!$C$39,1,'Economic parameters'!$C$9,('Economic parameters'!$C$16*'Economic parameters'!$C$37-(('Economic parameters'!$C$16*'Economic parameters'!$C$37/'Economic parameters'!$C$9)*'Cash-Flow Model GeoVision'!BE6)))&lt;0,IPMT('Economic parameters'!$C$39,1,'Economic parameters'!$C$9,('Economic parameters'!$C$16*'Economic parameters'!$C$37-(('Economic parameters'!$C$16*'Economic parameters'!$C$37/'Economic parameters'!$C$9)*'Cash-Flow Model GeoVision'!BE6))),0)</f>
        <v>0</v>
      </c>
    </row>
    <row r="41" spans="3:57">
      <c r="C41" s="54"/>
      <c r="D41" s="55" t="s">
        <v>149</v>
      </c>
      <c r="E41" s="56">
        <v>0</v>
      </c>
      <c r="F41" s="56">
        <v>0</v>
      </c>
      <c r="G41" s="56">
        <v>0</v>
      </c>
      <c r="H41" s="56">
        <f>IF(-SUM($E$41:G41)&lt;'Economic parameters'!$C$16,-SLN('Economic parameters'!$C$16,0,'Economic parameters'!$C$9),0)</f>
        <v>-17166389.278723177</v>
      </c>
      <c r="I41" s="56">
        <f>IF(-SUM($E$41:H41)&lt;'Economic parameters'!$C$16,-SLN('Economic parameters'!$C$16,0,'Economic parameters'!$C$9),0)</f>
        <v>-17166389.278723177</v>
      </c>
      <c r="J41" s="56">
        <f>IF(-SUM($E$41:I41)&lt;'Economic parameters'!$C$16,-SLN('Economic parameters'!$C$16,0,'Economic parameters'!$C$9),0)</f>
        <v>-17166389.278723177</v>
      </c>
      <c r="K41" s="56">
        <f>IF(-SUM($E$41:J41)&lt;'Economic parameters'!$C$16,-SLN('Economic parameters'!$C$16,0,'Economic parameters'!$C$9),0)</f>
        <v>-17166389.278723177</v>
      </c>
      <c r="L41" s="56">
        <f>IF(-SUM($E$41:K41)&lt;'Economic parameters'!$C$16,-SLN('Economic parameters'!$C$16,0,'Economic parameters'!$C$9),0)</f>
        <v>-17166389.278723177</v>
      </c>
      <c r="M41" s="56">
        <f>IF(-SUM($E$41:L41)&lt;'Economic parameters'!$C$16,-SLN('Economic parameters'!$C$16,0,'Economic parameters'!$C$9),0)</f>
        <v>-17166389.278723177</v>
      </c>
      <c r="N41" s="56">
        <f>IF(-SUM($E$41:M41)&lt;'Economic parameters'!$C$16,-SLN('Economic parameters'!$C$16,0,'Economic parameters'!$C$9),0)</f>
        <v>-17166389.278723177</v>
      </c>
      <c r="O41" s="56">
        <f>IF(-SUM($E$41:N41)&lt;'Economic parameters'!$C$16,-SLN('Economic parameters'!$C$16,0,'Economic parameters'!$C$9),0)</f>
        <v>-17166389.278723177</v>
      </c>
      <c r="P41" s="56">
        <f>IF(-SUM($E$41:O41)&lt;'Economic parameters'!$C$16,-SLN('Economic parameters'!$C$16,0,'Economic parameters'!$C$9),0)</f>
        <v>-17166389.278723177</v>
      </c>
      <c r="Q41" s="56">
        <f>IF(-SUM($E$41:P41)&lt;'Economic parameters'!$C$16,-SLN('Economic parameters'!$C$16,0,'Economic parameters'!$C$9),0)</f>
        <v>-17166389.278723177</v>
      </c>
      <c r="R41" s="56">
        <f>IF(-SUM($E$41:Q41)&lt;'Economic parameters'!$C$16,-SLN('Economic parameters'!$C$16,0,'Economic parameters'!$C$9),0)</f>
        <v>-17166389.278723177</v>
      </c>
      <c r="S41" s="56">
        <f>IF(-SUM($E$41:R41)&lt;'Economic parameters'!$C$16,-SLN('Economic parameters'!$C$16,0,'Economic parameters'!$C$9),0)</f>
        <v>-17166389.278723177</v>
      </c>
      <c r="T41" s="56">
        <f>IF(-SUM($E$41:S41)&lt;'Economic parameters'!$C$16,-SLN('Economic parameters'!$C$16,0,'Economic parameters'!$C$9),0)</f>
        <v>-17166389.278723177</v>
      </c>
      <c r="U41" s="56">
        <f>IF(-SUM($E$41:T41)&lt;'Economic parameters'!$C$16,-SLN('Economic parameters'!$C$16,0,'Economic parameters'!$C$9),0)</f>
        <v>-17166389.278723177</v>
      </c>
      <c r="V41" s="56">
        <f>IF(-SUM($E$41:U41)&lt;'Economic parameters'!$C$16,-SLN('Economic parameters'!$C$16,0,'Economic parameters'!$C$9),0)</f>
        <v>-17166389.278723177</v>
      </c>
      <c r="W41" s="56">
        <f>IF(-SUM($E$41:V41)&lt;'Economic parameters'!$C$16,-SLN('Economic parameters'!$C$16,0,'Economic parameters'!$C$9),0)</f>
        <v>-17166389.278723177</v>
      </c>
      <c r="X41" s="56">
        <f>IF(-SUM($E$41:W41)&lt;'Economic parameters'!$C$16,-SLN('Economic parameters'!$C$16,0,'Economic parameters'!$C$9),0)</f>
        <v>-17166389.278723177</v>
      </c>
      <c r="Y41" s="56">
        <f>IF(-SUM($E$41:X41)&lt;'Economic parameters'!$C$16,-SLN('Economic parameters'!$C$16,0,'Economic parameters'!$C$9),0)</f>
        <v>-17166389.278723177</v>
      </c>
      <c r="Z41" s="56">
        <f>IF(-SUM($E$41:Y41)&lt;'Economic parameters'!$C$16,-SLN('Economic parameters'!$C$16,0,'Economic parameters'!$C$9),0)</f>
        <v>-17166389.278723177</v>
      </c>
      <c r="AA41" s="56">
        <f>IF(-SUM($E$41:Z41)&lt;'Economic parameters'!$C$16,-SLN('Economic parameters'!$C$16,0,'Economic parameters'!$C$9),0)</f>
        <v>-17166389.278723177</v>
      </c>
      <c r="AB41" s="56">
        <f>IF(-SUM($E$41:AA41)&lt;'Economic parameters'!$C$16,-SLN('Economic parameters'!$C$16,0,'Economic parameters'!$C$9),0)</f>
        <v>-17166389.278723177</v>
      </c>
      <c r="AC41" s="56">
        <f>IF(-SUM($E$41:AB41)&lt;'Economic parameters'!$C$16,-SLN('Economic parameters'!$C$16,0,'Economic parameters'!$C$9),0)</f>
        <v>-17166389.278723177</v>
      </c>
      <c r="AD41" s="56">
        <f>IF(-SUM($E$41:AC41)&lt;'Economic parameters'!$C$16,-SLN('Economic parameters'!$C$16,0,'Economic parameters'!$C$9),0)</f>
        <v>-17166389.278723177</v>
      </c>
      <c r="AE41" s="56">
        <f>IF(-SUM($E$41:AD41)&lt;'Economic parameters'!$C$16,-SLN('Economic parameters'!$C$16,0,'Economic parameters'!$C$9),0)</f>
        <v>-17166389.278723177</v>
      </c>
      <c r="AF41" s="56">
        <f>IF(-SUM($E$41:AE41)&lt;'Economic parameters'!$C$16,-SLN('Economic parameters'!$C$16,0,'Economic parameters'!$C$9),0)</f>
        <v>-17166389.278723177</v>
      </c>
      <c r="AG41" s="56">
        <f>IF(-SUM($E$41:AF41)&lt;'Economic parameters'!$C$16,-SLN('Economic parameters'!$C$16,0,'Economic parameters'!$C$9),0)</f>
        <v>0</v>
      </c>
      <c r="AH41" s="56">
        <f>IF(-SUM($E$41:AG41)&lt;'Economic parameters'!$C$16,-SLN('Economic parameters'!$C$16,0,'Economic parameters'!$C$9),0)</f>
        <v>0</v>
      </c>
      <c r="AI41" s="56">
        <f>IF(-SUM($E$41:AH41)&lt;'Economic parameters'!$C$16,-SLN('Economic parameters'!$C$16,0,'Economic parameters'!$C$9),0)</f>
        <v>0</v>
      </c>
      <c r="AJ41" s="56">
        <f>IF(-SUM($E$41:AI41)&lt;'Economic parameters'!$C$16,-SLN('Economic parameters'!$C$16,0,'Economic parameters'!$C$9),0)</f>
        <v>0</v>
      </c>
      <c r="AK41" s="56">
        <f>IF(-SUM($E$41:AJ41)&lt;'Economic parameters'!$C$16,-SLN('Economic parameters'!$C$16,0,'Economic parameters'!$C$9),0)</f>
        <v>0</v>
      </c>
      <c r="AL41" s="56">
        <f>IF(-SUM($E$41:AK41)&lt;'Economic parameters'!$C$16,-SLN('Economic parameters'!$C$16,0,'Economic parameters'!$C$9),0)</f>
        <v>0</v>
      </c>
      <c r="AM41" s="56">
        <f>IF(-SUM($E$41:AL41)&lt;'Economic parameters'!$C$16,-SLN('Economic parameters'!$C$16,0,'Economic parameters'!$C$9),0)</f>
        <v>0</v>
      </c>
      <c r="AN41" s="56">
        <f>IF(-SUM($E$41:AM41)&lt;'Economic parameters'!$C$16,-SLN('Economic parameters'!$C$16,0,'Economic parameters'!$C$9),0)</f>
        <v>0</v>
      </c>
      <c r="AO41" s="56">
        <f>IF(-SUM($E$41:AN41)&lt;'Economic parameters'!$C$16,-SLN('Economic parameters'!$C$16,0,'Economic parameters'!$C$9),0)</f>
        <v>0</v>
      </c>
      <c r="AP41" s="56">
        <f>IF(-SUM($E$41:AO41)&lt;'Economic parameters'!$C$16,-SLN('Economic parameters'!$C$16,0,'Economic parameters'!$C$9),0)</f>
        <v>0</v>
      </c>
      <c r="AQ41" s="56">
        <f>IF(-SUM($E$41:AP41)&lt;'Economic parameters'!$C$16,-SLN('Economic parameters'!$C$16,0,'Economic parameters'!$C$9),0)</f>
        <v>0</v>
      </c>
      <c r="AR41" s="56">
        <f>IF(-SUM($E$41:AQ41)&lt;'Economic parameters'!$C$16,-SLN('Economic parameters'!$C$16,0,'Economic parameters'!$C$9),0)</f>
        <v>0</v>
      </c>
      <c r="AS41" s="56">
        <f>IF(-SUM($E$41:AR41)&lt;'Economic parameters'!$C$16,-SLN('Economic parameters'!$C$16,0,'Economic parameters'!$C$9),0)</f>
        <v>0</v>
      </c>
      <c r="AT41" s="56">
        <f>IF(-SUM($E$41:AS41)&lt;'Economic parameters'!$C$16,-SLN('Economic parameters'!$C$16,0,'Economic parameters'!$C$9),0)</f>
        <v>0</v>
      </c>
      <c r="AU41" s="56">
        <f>IF(-SUM($E$41:AT41)&lt;'Economic parameters'!$C$16,-SLN('Economic parameters'!$C$16,0,'Economic parameters'!$C$9),0)</f>
        <v>0</v>
      </c>
      <c r="AV41" s="56">
        <f>IF(-SUM($E$41:AU41)&lt;'Economic parameters'!$C$16,-SLN('Economic parameters'!$C$16,0,'Economic parameters'!$C$9),0)</f>
        <v>0</v>
      </c>
      <c r="AW41" s="56">
        <f>IF(-SUM($E$41:AV41)&lt;'Economic parameters'!$C$16,-SLN('Economic parameters'!$C$16,0,'Economic parameters'!$C$9),0)</f>
        <v>0</v>
      </c>
      <c r="AX41" s="56">
        <f>IF(-SUM($E$41:AW41)&lt;'Economic parameters'!$C$16,-SLN('Economic parameters'!$C$16,0,'Economic parameters'!$C$9),0)</f>
        <v>0</v>
      </c>
      <c r="AY41" s="56">
        <f>IF(-SUM($E$41:AX41)&lt;'Economic parameters'!$C$16,-SLN('Economic parameters'!$C$16,0,'Economic parameters'!$C$9),0)</f>
        <v>0</v>
      </c>
      <c r="AZ41" s="56">
        <f>IF(-SUM($E$41:AY41)&lt;'Economic parameters'!$C$16,-SLN('Economic parameters'!$C$16,0,'Economic parameters'!$C$9),0)</f>
        <v>0</v>
      </c>
      <c r="BA41" s="56">
        <f>IF(-SUM($E$41:AZ41)&lt;'Economic parameters'!$C$16,-SLN('Economic parameters'!$C$16,0,'Economic parameters'!$C$9),0)</f>
        <v>0</v>
      </c>
      <c r="BB41" s="56">
        <f>IF(-SUM($E$41:BA41)&lt;'Economic parameters'!$C$16,-SLN('Economic parameters'!$C$16,0,'Economic parameters'!$C$9),0)</f>
        <v>0</v>
      </c>
      <c r="BC41" s="56">
        <f>IF(-SUM($E$41:BB41)&lt;'Economic parameters'!$C$16,-SLN('Economic parameters'!$C$16,0,'Economic parameters'!$C$9),0)</f>
        <v>0</v>
      </c>
      <c r="BD41" s="56">
        <f>IF(-SUM($E$41:BC41)&lt;'Economic parameters'!$C$16,-SLN('Economic parameters'!$C$16,0,'Economic parameters'!$C$9),0)</f>
        <v>0</v>
      </c>
      <c r="BE41" s="56">
        <f>IF(-SUM($E$41:BD41)&lt;'Economic parameters'!$C$16,-SLN('Economic parameters'!$C$16,0,'Economic parameters'!$C$9),0)</f>
        <v>0</v>
      </c>
    </row>
    <row r="42" spans="3:57">
      <c r="C42" s="54"/>
      <c r="D42" s="57" t="s">
        <v>103</v>
      </c>
      <c r="E42" s="58">
        <f>E38+E40+E41</f>
        <v>0</v>
      </c>
      <c r="F42" s="58">
        <f t="shared" ref="F42:BE42" si="8">F38+F40+F41</f>
        <v>0</v>
      </c>
      <c r="G42" s="58">
        <f t="shared" si="8"/>
        <v>0</v>
      </c>
      <c r="H42" s="58">
        <f t="shared" si="8"/>
        <v>-13422526.702971378</v>
      </c>
      <c r="I42" s="58">
        <f t="shared" si="8"/>
        <v>-13165030.863790531</v>
      </c>
      <c r="J42" s="58">
        <f t="shared" si="8"/>
        <v>-12907535.024609683</v>
      </c>
      <c r="K42" s="58">
        <f t="shared" si="8"/>
        <v>-12650039.185428835</v>
      </c>
      <c r="L42" s="58">
        <f t="shared" si="8"/>
        <v>-12392543.346247986</v>
      </c>
      <c r="M42" s="58">
        <f t="shared" si="8"/>
        <v>-12135047.50706714</v>
      </c>
      <c r="N42" s="58">
        <f t="shared" si="8"/>
        <v>-11877551.667886291</v>
      </c>
      <c r="O42" s="58">
        <f t="shared" si="8"/>
        <v>-11620055.828705445</v>
      </c>
      <c r="P42" s="58">
        <f t="shared" si="8"/>
        <v>-11362559.989524595</v>
      </c>
      <c r="Q42" s="58">
        <f t="shared" si="8"/>
        <v>-11105064.15034375</v>
      </c>
      <c r="R42" s="58">
        <f t="shared" si="8"/>
        <v>-10847568.311162902</v>
      </c>
      <c r="S42" s="58">
        <f t="shared" si="8"/>
        <v>-10590072.471982054</v>
      </c>
      <c r="T42" s="58">
        <f t="shared" si="8"/>
        <v>-10332576.632801207</v>
      </c>
      <c r="U42" s="58">
        <f t="shared" si="8"/>
        <v>-10075080.793620359</v>
      </c>
      <c r="V42" s="58">
        <f t="shared" si="8"/>
        <v>-9817584.9544395115</v>
      </c>
      <c r="W42" s="58">
        <f t="shared" si="8"/>
        <v>-9560089.1152586639</v>
      </c>
      <c r="X42" s="58">
        <f t="shared" si="8"/>
        <v>-9302593.2760778163</v>
      </c>
      <c r="Y42" s="58">
        <f t="shared" si="8"/>
        <v>-9045097.4368969686</v>
      </c>
      <c r="Z42" s="58">
        <f t="shared" si="8"/>
        <v>-8787601.597716121</v>
      </c>
      <c r="AA42" s="58">
        <f t="shared" si="8"/>
        <v>-8530105.7585352734</v>
      </c>
      <c r="AB42" s="58">
        <f t="shared" si="8"/>
        <v>-8272609.9193544257</v>
      </c>
      <c r="AC42" s="58">
        <f t="shared" si="8"/>
        <v>-8015114.0801735781</v>
      </c>
      <c r="AD42" s="58">
        <f t="shared" si="8"/>
        <v>-7757618.2409927305</v>
      </c>
      <c r="AE42" s="58">
        <f t="shared" si="8"/>
        <v>-7500122.4018118829</v>
      </c>
      <c r="AF42" s="58">
        <f t="shared" si="8"/>
        <v>-7242626.5626310352</v>
      </c>
      <c r="AG42" s="58">
        <f t="shared" si="8"/>
        <v>9923762.7160921413</v>
      </c>
      <c r="AH42" s="58">
        <f t="shared" si="8"/>
        <v>9923762.7160921413</v>
      </c>
      <c r="AI42" s="58">
        <f t="shared" si="8"/>
        <v>9923762.7160921413</v>
      </c>
      <c r="AJ42" s="58">
        <f t="shared" si="8"/>
        <v>9923762.7160921413</v>
      </c>
      <c r="AK42" s="58">
        <f t="shared" si="8"/>
        <v>9923762.7160921413</v>
      </c>
      <c r="AL42" s="58">
        <f t="shared" si="8"/>
        <v>9923762.7160921413</v>
      </c>
      <c r="AM42" s="58">
        <f t="shared" si="8"/>
        <v>9923762.7160921413</v>
      </c>
      <c r="AN42" s="58">
        <f t="shared" si="8"/>
        <v>9923762.7160921413</v>
      </c>
      <c r="AO42" s="58">
        <f t="shared" si="8"/>
        <v>9923762.7160921413</v>
      </c>
      <c r="AP42" s="58">
        <f t="shared" si="8"/>
        <v>9923762.7160921413</v>
      </c>
      <c r="AQ42" s="58">
        <f t="shared" si="8"/>
        <v>9923762.7160921413</v>
      </c>
      <c r="AR42" s="58">
        <f t="shared" si="8"/>
        <v>9923762.7160921413</v>
      </c>
      <c r="AS42" s="58">
        <f t="shared" si="8"/>
        <v>9923762.7160921413</v>
      </c>
      <c r="AT42" s="58">
        <f t="shared" si="8"/>
        <v>9923762.7160921413</v>
      </c>
      <c r="AU42" s="58">
        <f t="shared" si="8"/>
        <v>9923762.7160921413</v>
      </c>
      <c r="AV42" s="58">
        <f t="shared" si="8"/>
        <v>9923762.7160921413</v>
      </c>
      <c r="AW42" s="58">
        <f t="shared" si="8"/>
        <v>9923762.7160921413</v>
      </c>
      <c r="AX42" s="58">
        <f t="shared" si="8"/>
        <v>9923762.7160921413</v>
      </c>
      <c r="AY42" s="58">
        <f t="shared" si="8"/>
        <v>9923762.7160921413</v>
      </c>
      <c r="AZ42" s="58">
        <f t="shared" si="8"/>
        <v>9923762.7160921413</v>
      </c>
      <c r="BA42" s="58">
        <f t="shared" si="8"/>
        <v>9923762.7160921413</v>
      </c>
      <c r="BB42" s="58">
        <f t="shared" si="8"/>
        <v>9923762.7160921413</v>
      </c>
      <c r="BC42" s="58">
        <f t="shared" si="8"/>
        <v>9923762.7160921413</v>
      </c>
      <c r="BD42" s="58">
        <f t="shared" si="8"/>
        <v>9923762.7160921413</v>
      </c>
      <c r="BE42" s="58">
        <f t="shared" si="8"/>
        <v>9923762.7160921413</v>
      </c>
    </row>
    <row r="43" spans="3:57">
      <c r="C43" s="402" t="s">
        <v>150</v>
      </c>
      <c r="D43" s="402"/>
      <c r="E43" s="59">
        <f>IF(E42&gt;0,-E42*'Economic parameters'!$C$38,0)</f>
        <v>0</v>
      </c>
      <c r="F43" s="59">
        <f>IF(F42&gt;0,-F42*'Economic parameters'!$C$38,0)</f>
        <v>0</v>
      </c>
      <c r="G43" s="59">
        <f>IF(G42&gt;0,-G42*'Economic parameters'!$C$38,0)</f>
        <v>0</v>
      </c>
      <c r="H43" s="59">
        <f>IF(H42&gt;0,-H42*'Economic parameters'!$C$38,0)</f>
        <v>0</v>
      </c>
      <c r="I43" s="59">
        <f>IF(I42&gt;0,-I42*'Economic parameters'!$C$38,0)</f>
        <v>0</v>
      </c>
      <c r="J43" s="59">
        <f>IF(J42&gt;0,-J42*'Economic parameters'!$C$38,0)</f>
        <v>0</v>
      </c>
      <c r="K43" s="59">
        <f>IF(K42&gt;0,-K42*'Economic parameters'!$C$38,0)</f>
        <v>0</v>
      </c>
      <c r="L43" s="59">
        <f>IF(L42&gt;0,-L42*'Economic parameters'!$C$38,0)</f>
        <v>0</v>
      </c>
      <c r="M43" s="59">
        <f>IF(M42&gt;0,-M42*'Economic parameters'!$C$38,0)</f>
        <v>0</v>
      </c>
      <c r="N43" s="59">
        <f>IF(N42&gt;0,-N42*'Economic parameters'!$C$38,0)</f>
        <v>0</v>
      </c>
      <c r="O43" s="59">
        <f>IF(O42&gt;0,-O42*'Economic parameters'!$C$38,0)</f>
        <v>0</v>
      </c>
      <c r="P43" s="59">
        <f>IF(P42&gt;0,-P42*'Economic parameters'!$C$38,0)</f>
        <v>0</v>
      </c>
      <c r="Q43" s="59">
        <f>IF(Q42&gt;0,-Q42*'Economic parameters'!$C$38,0)</f>
        <v>0</v>
      </c>
      <c r="R43" s="59">
        <f>IF(R42&gt;0,-R42*'Economic parameters'!$C$38,0)</f>
        <v>0</v>
      </c>
      <c r="S43" s="59">
        <f>IF(S42&gt;0,-S42*'Economic parameters'!$C$38,0)</f>
        <v>0</v>
      </c>
      <c r="T43" s="59">
        <f>IF(T42&gt;0,-T42*'Economic parameters'!$C$38,0)</f>
        <v>0</v>
      </c>
      <c r="U43" s="59">
        <f>IF(U42&gt;0,-U42*'Economic parameters'!$C$38,0)</f>
        <v>0</v>
      </c>
      <c r="V43" s="59">
        <f>IF(V42&gt;0,-V42*'Economic parameters'!$C$38,0)</f>
        <v>0</v>
      </c>
      <c r="W43" s="59">
        <f>IF(W42&gt;0,-W42*'Economic parameters'!$C$38,0)</f>
        <v>0</v>
      </c>
      <c r="X43" s="59">
        <f>IF(X42&gt;0,-X42*'Economic parameters'!$C$38,0)</f>
        <v>0</v>
      </c>
      <c r="Y43" s="59">
        <f>IF(Y42&gt;0,-Y42*'Economic parameters'!$C$38,0)</f>
        <v>0</v>
      </c>
      <c r="Z43" s="59">
        <f>IF(Z42&gt;0,-Z42*'Economic parameters'!$C$38,0)</f>
        <v>0</v>
      </c>
      <c r="AA43" s="59">
        <f>IF(AA42&gt;0,-AA42*'Economic parameters'!$C$38,0)</f>
        <v>0</v>
      </c>
      <c r="AB43" s="59">
        <f>IF(AB42&gt;0,-AB42*'Economic parameters'!$C$38,0)</f>
        <v>0</v>
      </c>
      <c r="AC43" s="59">
        <f>IF(AC42&gt;0,-AC42*'Economic parameters'!$C$38,0)</f>
        <v>0</v>
      </c>
      <c r="AD43" s="59">
        <f>IF(AD42&gt;0,-AD42*'Economic parameters'!$C$38,0)</f>
        <v>0</v>
      </c>
      <c r="AE43" s="59">
        <f>IF(AE42&gt;0,-AE42*'Economic parameters'!$C$38,0)</f>
        <v>0</v>
      </c>
      <c r="AF43" s="59">
        <f>IF(AF42&gt;0,-AF42*'Economic parameters'!$C$38,0)</f>
        <v>0</v>
      </c>
      <c r="AG43" s="59">
        <f>IF(AG42&gt;0,-AG42*'Economic parameters'!$C$38,0)</f>
        <v>-1984752.5432184283</v>
      </c>
      <c r="AH43" s="59">
        <f>IF(AH42&gt;0,-AH42*'Economic parameters'!$C$38,0)</f>
        <v>-1984752.5432184283</v>
      </c>
      <c r="AI43" s="59">
        <f>IF(AI42&gt;0,-AI42*'Economic parameters'!$C$38,0)</f>
        <v>-1984752.5432184283</v>
      </c>
      <c r="AJ43" s="59">
        <f>IF(AJ42&gt;0,-AJ42*'Economic parameters'!$C$38,0)</f>
        <v>-1984752.5432184283</v>
      </c>
      <c r="AK43" s="59">
        <f>IF(AK42&gt;0,-AK42*'Economic parameters'!$C$38,0)</f>
        <v>-1984752.5432184283</v>
      </c>
      <c r="AL43" s="59">
        <f>IF(AL42&gt;0,-AL42*'Economic parameters'!$C$38,0)</f>
        <v>-1984752.5432184283</v>
      </c>
      <c r="AM43" s="59">
        <f>IF(AM42&gt;0,-AM42*'Economic parameters'!$C$38,0)</f>
        <v>-1984752.5432184283</v>
      </c>
      <c r="AN43" s="59">
        <f>IF(AN42&gt;0,-AN42*'Economic parameters'!$C$38,0)</f>
        <v>-1984752.5432184283</v>
      </c>
      <c r="AO43" s="59">
        <f>IF(AO42&gt;0,-AO42*'Economic parameters'!$C$38,0)</f>
        <v>-1984752.5432184283</v>
      </c>
      <c r="AP43" s="59">
        <f>IF(AP42&gt;0,-AP42*'Economic parameters'!$C$38,0)</f>
        <v>-1984752.5432184283</v>
      </c>
      <c r="AQ43" s="59">
        <f>IF(AQ42&gt;0,-AQ42*'Economic parameters'!$C$38,0)</f>
        <v>-1984752.5432184283</v>
      </c>
      <c r="AR43" s="59">
        <f>IF(AR42&gt;0,-AR42*'Economic parameters'!$C$38,0)</f>
        <v>-1984752.5432184283</v>
      </c>
      <c r="AS43" s="59">
        <f>IF(AS42&gt;0,-AS42*'Economic parameters'!$C$38,0)</f>
        <v>-1984752.5432184283</v>
      </c>
      <c r="AT43" s="59">
        <f>IF(AT42&gt;0,-AT42*'Economic parameters'!$C$38,0)</f>
        <v>-1984752.5432184283</v>
      </c>
      <c r="AU43" s="59">
        <f>IF(AU42&gt;0,-AU42*'Economic parameters'!$C$38,0)</f>
        <v>-1984752.5432184283</v>
      </c>
      <c r="AV43" s="59">
        <f>IF(AV42&gt;0,-AV42*'Economic parameters'!$C$38,0)</f>
        <v>-1984752.5432184283</v>
      </c>
      <c r="AW43" s="59">
        <f>IF(AW42&gt;0,-AW42*'Economic parameters'!$C$38,0)</f>
        <v>-1984752.5432184283</v>
      </c>
      <c r="AX43" s="59">
        <f>IF(AX42&gt;0,-AX42*'Economic parameters'!$C$38,0)</f>
        <v>-1984752.5432184283</v>
      </c>
      <c r="AY43" s="59">
        <f>IF(AY42&gt;0,-AY42*'Economic parameters'!$C$38,0)</f>
        <v>-1984752.5432184283</v>
      </c>
      <c r="AZ43" s="59">
        <f>IF(AZ42&gt;0,-AZ42*'Economic parameters'!$C$38,0)</f>
        <v>-1984752.5432184283</v>
      </c>
      <c r="BA43" s="59">
        <f>IF(BA42&gt;0,-BA42*'Economic parameters'!$C$38,0)</f>
        <v>-1984752.5432184283</v>
      </c>
      <c r="BB43" s="59">
        <f>IF(BB42&gt;0,-BB42*'Economic parameters'!$C$38,0)</f>
        <v>-1984752.5432184283</v>
      </c>
      <c r="BC43" s="59">
        <f>IF(BC42&gt;0,-BC42*'Economic parameters'!$C$38,0)</f>
        <v>-1984752.5432184283</v>
      </c>
      <c r="BD43" s="59">
        <f>IF(BD42&gt;0,-BD42*'Economic parameters'!$C$38,0)</f>
        <v>-1984752.5432184283</v>
      </c>
      <c r="BE43" s="59">
        <f>IF(BE42&gt;0,-BE42*'Economic parameters'!$C$38,0)</f>
        <v>-1984752.5432184283</v>
      </c>
    </row>
    <row r="44" spans="3:57">
      <c r="C44" s="60"/>
      <c r="D44" s="61" t="s">
        <v>151</v>
      </c>
      <c r="E44" s="43">
        <f>E42+E43</f>
        <v>0</v>
      </c>
      <c r="F44" s="43">
        <f t="shared" ref="F44:BE44" si="9">F42+F43</f>
        <v>0</v>
      </c>
      <c r="G44" s="43">
        <f t="shared" si="9"/>
        <v>0</v>
      </c>
      <c r="H44" s="43">
        <f t="shared" si="9"/>
        <v>-13422526.702971378</v>
      </c>
      <c r="I44" s="43">
        <f t="shared" si="9"/>
        <v>-13165030.863790531</v>
      </c>
      <c r="J44" s="43">
        <f t="shared" si="9"/>
        <v>-12907535.024609683</v>
      </c>
      <c r="K44" s="43">
        <f t="shared" si="9"/>
        <v>-12650039.185428835</v>
      </c>
      <c r="L44" s="43">
        <f t="shared" si="9"/>
        <v>-12392543.346247986</v>
      </c>
      <c r="M44" s="43">
        <f t="shared" si="9"/>
        <v>-12135047.50706714</v>
      </c>
      <c r="N44" s="43">
        <f t="shared" si="9"/>
        <v>-11877551.667886291</v>
      </c>
      <c r="O44" s="43">
        <f t="shared" si="9"/>
        <v>-11620055.828705445</v>
      </c>
      <c r="P44" s="43">
        <f t="shared" si="9"/>
        <v>-11362559.989524595</v>
      </c>
      <c r="Q44" s="43">
        <f t="shared" si="9"/>
        <v>-11105064.15034375</v>
      </c>
      <c r="R44" s="43">
        <f t="shared" si="9"/>
        <v>-10847568.311162902</v>
      </c>
      <c r="S44" s="43">
        <f t="shared" si="9"/>
        <v>-10590072.471982054</v>
      </c>
      <c r="T44" s="43">
        <f t="shared" si="9"/>
        <v>-10332576.632801207</v>
      </c>
      <c r="U44" s="43">
        <f t="shared" si="9"/>
        <v>-10075080.793620359</v>
      </c>
      <c r="V44" s="43">
        <f t="shared" si="9"/>
        <v>-9817584.9544395115</v>
      </c>
      <c r="W44" s="43">
        <f t="shared" si="9"/>
        <v>-9560089.1152586639</v>
      </c>
      <c r="X44" s="43">
        <f t="shared" si="9"/>
        <v>-9302593.2760778163</v>
      </c>
      <c r="Y44" s="43">
        <f t="shared" si="9"/>
        <v>-9045097.4368969686</v>
      </c>
      <c r="Z44" s="43">
        <f t="shared" si="9"/>
        <v>-8787601.597716121</v>
      </c>
      <c r="AA44" s="43">
        <f t="shared" si="9"/>
        <v>-8530105.7585352734</v>
      </c>
      <c r="AB44" s="43">
        <f t="shared" si="9"/>
        <v>-8272609.9193544257</v>
      </c>
      <c r="AC44" s="43">
        <f t="shared" si="9"/>
        <v>-8015114.0801735781</v>
      </c>
      <c r="AD44" s="43">
        <f t="shared" si="9"/>
        <v>-7757618.2409927305</v>
      </c>
      <c r="AE44" s="43">
        <f t="shared" si="9"/>
        <v>-7500122.4018118829</v>
      </c>
      <c r="AF44" s="43">
        <f t="shared" si="9"/>
        <v>-7242626.5626310352</v>
      </c>
      <c r="AG44" s="43">
        <f t="shared" si="9"/>
        <v>7939010.1728737131</v>
      </c>
      <c r="AH44" s="43">
        <f t="shared" si="9"/>
        <v>7939010.1728737131</v>
      </c>
      <c r="AI44" s="43">
        <f t="shared" si="9"/>
        <v>7939010.1728737131</v>
      </c>
      <c r="AJ44" s="43">
        <f t="shared" si="9"/>
        <v>7939010.1728737131</v>
      </c>
      <c r="AK44" s="43">
        <f t="shared" si="9"/>
        <v>7939010.1728737131</v>
      </c>
      <c r="AL44" s="43">
        <f t="shared" si="9"/>
        <v>7939010.1728737131</v>
      </c>
      <c r="AM44" s="43">
        <f t="shared" si="9"/>
        <v>7939010.1728737131</v>
      </c>
      <c r="AN44" s="43">
        <f t="shared" si="9"/>
        <v>7939010.1728737131</v>
      </c>
      <c r="AO44" s="43">
        <f t="shared" si="9"/>
        <v>7939010.1728737131</v>
      </c>
      <c r="AP44" s="43">
        <f t="shared" si="9"/>
        <v>7939010.1728737131</v>
      </c>
      <c r="AQ44" s="43">
        <f t="shared" si="9"/>
        <v>7939010.1728737131</v>
      </c>
      <c r="AR44" s="43">
        <f t="shared" si="9"/>
        <v>7939010.1728737131</v>
      </c>
      <c r="AS44" s="43">
        <f t="shared" si="9"/>
        <v>7939010.1728737131</v>
      </c>
      <c r="AT44" s="43">
        <f t="shared" si="9"/>
        <v>7939010.1728737131</v>
      </c>
      <c r="AU44" s="43">
        <f t="shared" si="9"/>
        <v>7939010.1728737131</v>
      </c>
      <c r="AV44" s="43">
        <f t="shared" si="9"/>
        <v>7939010.1728737131</v>
      </c>
      <c r="AW44" s="43">
        <f t="shared" si="9"/>
        <v>7939010.1728737131</v>
      </c>
      <c r="AX44" s="43">
        <f t="shared" si="9"/>
        <v>7939010.1728737131</v>
      </c>
      <c r="AY44" s="43">
        <f t="shared" si="9"/>
        <v>7939010.1728737131</v>
      </c>
      <c r="AZ44" s="43">
        <f t="shared" si="9"/>
        <v>7939010.1728737131</v>
      </c>
      <c r="BA44" s="43">
        <f t="shared" si="9"/>
        <v>7939010.1728737131</v>
      </c>
      <c r="BB44" s="43">
        <f t="shared" si="9"/>
        <v>7939010.1728737131</v>
      </c>
      <c r="BC44" s="43">
        <f t="shared" si="9"/>
        <v>7939010.1728737131</v>
      </c>
      <c r="BD44" s="43">
        <f t="shared" si="9"/>
        <v>7939010.1728737131</v>
      </c>
      <c r="BE44" s="43">
        <f t="shared" si="9"/>
        <v>7939010.1728737131</v>
      </c>
    </row>
    <row r="45" spans="3:57" ht="7.35" customHeight="1">
      <c r="C45" s="53"/>
      <c r="D45" s="51"/>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row>
    <row r="46" spans="3:57">
      <c r="C46" s="407" t="s">
        <v>104</v>
      </c>
      <c r="D46" s="407"/>
      <c r="E46" s="63">
        <f t="shared" ref="E46:BE46" si="10">E44-E41</f>
        <v>0</v>
      </c>
      <c r="F46" s="63">
        <f t="shared" si="10"/>
        <v>0</v>
      </c>
      <c r="G46" s="63">
        <f t="shared" si="10"/>
        <v>0</v>
      </c>
      <c r="H46" s="63">
        <f t="shared" si="10"/>
        <v>3743862.5757517982</v>
      </c>
      <c r="I46" s="63">
        <f t="shared" si="10"/>
        <v>4001358.4149326459</v>
      </c>
      <c r="J46" s="63">
        <f t="shared" si="10"/>
        <v>4258854.2541134935</v>
      </c>
      <c r="K46" s="63">
        <f t="shared" si="10"/>
        <v>4516350.0932943411</v>
      </c>
      <c r="L46" s="63">
        <f t="shared" si="10"/>
        <v>4773845.9324751906</v>
      </c>
      <c r="M46" s="63">
        <f t="shared" si="10"/>
        <v>5031341.7716560364</v>
      </c>
      <c r="N46" s="63">
        <f t="shared" si="10"/>
        <v>5288837.6108368859</v>
      </c>
      <c r="O46" s="63">
        <f t="shared" si="10"/>
        <v>5546333.4500177316</v>
      </c>
      <c r="P46" s="63">
        <f t="shared" si="10"/>
        <v>5803829.2891985811</v>
      </c>
      <c r="Q46" s="63">
        <f t="shared" si="10"/>
        <v>6061325.1283794269</v>
      </c>
      <c r="R46" s="63">
        <f t="shared" si="10"/>
        <v>6318820.9675602745</v>
      </c>
      <c r="S46" s="63">
        <f t="shared" si="10"/>
        <v>6576316.8067411222</v>
      </c>
      <c r="T46" s="63">
        <f t="shared" si="10"/>
        <v>6833812.6459219698</v>
      </c>
      <c r="U46" s="63">
        <f t="shared" si="10"/>
        <v>7091308.4851028174</v>
      </c>
      <c r="V46" s="63">
        <f t="shared" si="10"/>
        <v>7348804.324283665</v>
      </c>
      <c r="W46" s="63">
        <f t="shared" si="10"/>
        <v>7606300.1634645127</v>
      </c>
      <c r="X46" s="63">
        <f t="shared" si="10"/>
        <v>7863796.0026453603</v>
      </c>
      <c r="Y46" s="63">
        <f t="shared" si="10"/>
        <v>8121291.8418262079</v>
      </c>
      <c r="Z46" s="63">
        <f t="shared" si="10"/>
        <v>8378787.6810070556</v>
      </c>
      <c r="AA46" s="63">
        <f t="shared" si="10"/>
        <v>8636283.5201879032</v>
      </c>
      <c r="AB46" s="63">
        <f t="shared" si="10"/>
        <v>8893779.3593687508</v>
      </c>
      <c r="AC46" s="63">
        <f t="shared" si="10"/>
        <v>9151275.1985495985</v>
      </c>
      <c r="AD46" s="63">
        <f t="shared" si="10"/>
        <v>9408771.0377304461</v>
      </c>
      <c r="AE46" s="63">
        <f t="shared" si="10"/>
        <v>9666266.8769112937</v>
      </c>
      <c r="AF46" s="63">
        <f t="shared" si="10"/>
        <v>9923762.7160921413</v>
      </c>
      <c r="AG46" s="63">
        <f t="shared" si="10"/>
        <v>7939010.1728737131</v>
      </c>
      <c r="AH46" s="63">
        <f t="shared" si="10"/>
        <v>7939010.1728737131</v>
      </c>
      <c r="AI46" s="63">
        <f t="shared" si="10"/>
        <v>7939010.1728737131</v>
      </c>
      <c r="AJ46" s="63">
        <f t="shared" si="10"/>
        <v>7939010.1728737131</v>
      </c>
      <c r="AK46" s="63">
        <f t="shared" si="10"/>
        <v>7939010.1728737131</v>
      </c>
      <c r="AL46" s="63">
        <f t="shared" si="10"/>
        <v>7939010.1728737131</v>
      </c>
      <c r="AM46" s="63">
        <f t="shared" si="10"/>
        <v>7939010.1728737131</v>
      </c>
      <c r="AN46" s="63">
        <f t="shared" si="10"/>
        <v>7939010.1728737131</v>
      </c>
      <c r="AO46" s="63">
        <f t="shared" si="10"/>
        <v>7939010.1728737131</v>
      </c>
      <c r="AP46" s="63">
        <f t="shared" si="10"/>
        <v>7939010.1728737131</v>
      </c>
      <c r="AQ46" s="63">
        <f t="shared" si="10"/>
        <v>7939010.1728737131</v>
      </c>
      <c r="AR46" s="63">
        <f t="shared" si="10"/>
        <v>7939010.1728737131</v>
      </c>
      <c r="AS46" s="63">
        <f t="shared" si="10"/>
        <v>7939010.1728737131</v>
      </c>
      <c r="AT46" s="63">
        <f t="shared" si="10"/>
        <v>7939010.1728737131</v>
      </c>
      <c r="AU46" s="63">
        <f t="shared" si="10"/>
        <v>7939010.1728737131</v>
      </c>
      <c r="AV46" s="63">
        <f t="shared" si="10"/>
        <v>7939010.1728737131</v>
      </c>
      <c r="AW46" s="63">
        <f t="shared" si="10"/>
        <v>7939010.1728737131</v>
      </c>
      <c r="AX46" s="63">
        <f t="shared" si="10"/>
        <v>7939010.1728737131</v>
      </c>
      <c r="AY46" s="63">
        <f t="shared" si="10"/>
        <v>7939010.1728737131</v>
      </c>
      <c r="AZ46" s="63">
        <f t="shared" si="10"/>
        <v>7939010.1728737131</v>
      </c>
      <c r="BA46" s="63">
        <f t="shared" si="10"/>
        <v>7939010.1728737131</v>
      </c>
      <c r="BB46" s="63">
        <f t="shared" si="10"/>
        <v>7939010.1728737131</v>
      </c>
      <c r="BC46" s="63">
        <f t="shared" si="10"/>
        <v>7939010.1728737131</v>
      </c>
      <c r="BD46" s="63">
        <f t="shared" si="10"/>
        <v>7939010.1728737131</v>
      </c>
      <c r="BE46" s="63">
        <f t="shared" si="10"/>
        <v>7939010.1728737131</v>
      </c>
    </row>
    <row r="47" spans="3:57" ht="7.35" customHeight="1">
      <c r="C47" s="53"/>
      <c r="D47" s="53"/>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row>
    <row r="48" spans="3:57" ht="18" customHeight="1">
      <c r="C48" s="403" t="s">
        <v>137</v>
      </c>
      <c r="D48" s="48" t="s">
        <v>152</v>
      </c>
      <c r="E48" s="40">
        <f>-'Economic parameters'!C19*'Economic parameters'!C24</f>
        <v>-10902046.947874911</v>
      </c>
      <c r="F48" s="40">
        <f>-'Economic parameters'!C19*'Economic parameters'!C25</f>
        <v>-10902046.947874911</v>
      </c>
      <c r="G48" s="123">
        <f>-'Economic parameters'!C19*'Economic parameters'!C26</f>
        <v>-10902046.947874911</v>
      </c>
      <c r="H48" s="39">
        <v>0</v>
      </c>
      <c r="I48" s="39">
        <v>0</v>
      </c>
      <c r="J48" s="39">
        <v>0</v>
      </c>
      <c r="K48" s="39">
        <v>0</v>
      </c>
      <c r="L48" s="39">
        <v>0</v>
      </c>
      <c r="M48" s="39">
        <v>0</v>
      </c>
      <c r="N48" s="39">
        <v>0</v>
      </c>
      <c r="O48" s="39">
        <v>0</v>
      </c>
      <c r="P48" s="39">
        <v>0</v>
      </c>
      <c r="Q48" s="39">
        <v>0</v>
      </c>
      <c r="R48" s="39">
        <v>0</v>
      </c>
      <c r="S48" s="39">
        <v>0</v>
      </c>
      <c r="T48" s="39">
        <v>0</v>
      </c>
      <c r="U48" s="39">
        <v>0</v>
      </c>
      <c r="V48" s="39">
        <v>0</v>
      </c>
      <c r="W48" s="39">
        <v>0</v>
      </c>
      <c r="X48" s="39">
        <v>0</v>
      </c>
      <c r="Y48" s="39">
        <v>0</v>
      </c>
      <c r="Z48" s="39">
        <v>0</v>
      </c>
      <c r="AA48" s="39">
        <v>0</v>
      </c>
      <c r="AB48" s="39">
        <v>0</v>
      </c>
      <c r="AC48" s="39">
        <v>0</v>
      </c>
      <c r="AD48" s="39">
        <v>0</v>
      </c>
      <c r="AE48" s="39">
        <v>0</v>
      </c>
      <c r="AF48" s="39">
        <v>0</v>
      </c>
      <c r="AG48" s="39">
        <v>0</v>
      </c>
      <c r="AH48" s="39">
        <v>0</v>
      </c>
      <c r="AI48" s="39">
        <v>0</v>
      </c>
      <c r="AJ48" s="39">
        <v>0</v>
      </c>
      <c r="AK48" s="39">
        <v>0</v>
      </c>
      <c r="AL48" s="39">
        <v>0</v>
      </c>
      <c r="AM48" s="39">
        <v>0</v>
      </c>
      <c r="AN48" s="39">
        <v>0</v>
      </c>
      <c r="AO48" s="39">
        <v>0</v>
      </c>
      <c r="AP48" s="39">
        <v>0</v>
      </c>
      <c r="AQ48" s="39">
        <v>0</v>
      </c>
      <c r="AR48" s="39">
        <v>0</v>
      </c>
      <c r="AS48" s="39">
        <v>0</v>
      </c>
      <c r="AT48" s="39">
        <v>0</v>
      </c>
      <c r="AU48" s="39">
        <v>0</v>
      </c>
      <c r="AV48" s="39">
        <v>0</v>
      </c>
      <c r="AW48" s="39">
        <v>0</v>
      </c>
      <c r="AX48" s="39">
        <v>0</v>
      </c>
      <c r="AY48" s="39">
        <v>0</v>
      </c>
      <c r="AZ48" s="39">
        <v>0</v>
      </c>
      <c r="BA48" s="39">
        <v>0</v>
      </c>
      <c r="BB48" s="39">
        <v>0</v>
      </c>
      <c r="BC48" s="39">
        <v>0</v>
      </c>
      <c r="BD48" s="39">
        <v>0</v>
      </c>
      <c r="BE48" s="39">
        <v>0</v>
      </c>
    </row>
    <row r="49" spans="3:57" ht="14.7" customHeight="1">
      <c r="C49" s="403"/>
      <c r="D49" s="48" t="s">
        <v>153</v>
      </c>
      <c r="E49" s="40">
        <f>-'Economic parameters'!C21*'Economic parameters'!C28</f>
        <v>0</v>
      </c>
      <c r="F49" s="40">
        <f>-'Economic parameters'!C21*'Economic parameters'!C29</f>
        <v>-1105147.7789591514</v>
      </c>
      <c r="G49" s="40">
        <f>-'Economic parameters'!C21*'Economic parameters'!C30</f>
        <v>-4420591.1158366054</v>
      </c>
      <c r="H49" s="39">
        <v>0</v>
      </c>
      <c r="I49" s="39">
        <v>0</v>
      </c>
      <c r="J49" s="39">
        <v>0</v>
      </c>
      <c r="K49" s="39">
        <v>0</v>
      </c>
      <c r="L49" s="39">
        <v>0</v>
      </c>
      <c r="M49" s="39">
        <v>0</v>
      </c>
      <c r="N49" s="39">
        <v>0</v>
      </c>
      <c r="O49" s="39">
        <v>0</v>
      </c>
      <c r="P49" s="39">
        <v>0</v>
      </c>
      <c r="Q49" s="39">
        <v>0</v>
      </c>
      <c r="R49" s="39">
        <v>0</v>
      </c>
      <c r="S49" s="39">
        <v>0</v>
      </c>
      <c r="T49" s="39">
        <v>0</v>
      </c>
      <c r="U49" s="39">
        <v>0</v>
      </c>
      <c r="V49" s="39">
        <v>0</v>
      </c>
      <c r="W49" s="39">
        <v>0</v>
      </c>
      <c r="X49" s="39">
        <v>0</v>
      </c>
      <c r="Y49" s="39">
        <v>0</v>
      </c>
      <c r="Z49" s="39">
        <v>0</v>
      </c>
      <c r="AA49" s="39">
        <v>0</v>
      </c>
      <c r="AB49" s="39">
        <v>0</v>
      </c>
      <c r="AC49" s="39">
        <v>0</v>
      </c>
      <c r="AD49" s="39">
        <v>0</v>
      </c>
      <c r="AE49" s="39">
        <v>0</v>
      </c>
      <c r="AF49" s="39">
        <v>0</v>
      </c>
      <c r="AG49" s="39">
        <v>0</v>
      </c>
      <c r="AH49" s="39">
        <v>0</v>
      </c>
      <c r="AI49" s="39">
        <v>0</v>
      </c>
      <c r="AJ49" s="39">
        <v>0</v>
      </c>
      <c r="AK49" s="39">
        <v>0</v>
      </c>
      <c r="AL49" s="39">
        <v>0</v>
      </c>
      <c r="AM49" s="39">
        <v>0</v>
      </c>
      <c r="AN49" s="39">
        <v>0</v>
      </c>
      <c r="AO49" s="39">
        <v>0</v>
      </c>
      <c r="AP49" s="39">
        <v>0</v>
      </c>
      <c r="AQ49" s="39">
        <v>0</v>
      </c>
      <c r="AR49" s="39">
        <v>0</v>
      </c>
      <c r="AS49" s="39">
        <v>0</v>
      </c>
      <c r="AT49" s="39">
        <v>0</v>
      </c>
      <c r="AU49" s="39">
        <v>0</v>
      </c>
      <c r="AV49" s="39">
        <v>0</v>
      </c>
      <c r="AW49" s="39">
        <v>0</v>
      </c>
      <c r="AX49" s="39">
        <v>0</v>
      </c>
      <c r="AY49" s="39">
        <v>0</v>
      </c>
      <c r="AZ49" s="39">
        <v>0</v>
      </c>
      <c r="BA49" s="39">
        <v>0</v>
      </c>
      <c r="BB49" s="39">
        <v>0</v>
      </c>
      <c r="BC49" s="39">
        <v>0</v>
      </c>
      <c r="BD49" s="39">
        <v>0</v>
      </c>
      <c r="BE49" s="39">
        <v>0</v>
      </c>
    </row>
    <row r="50" spans="3:57" ht="14.7" customHeight="1">
      <c r="C50" s="403"/>
      <c r="D50" s="49" t="s">
        <v>168</v>
      </c>
      <c r="E50" s="43">
        <f>'Economic parameters'!C22*'Economic parameters'!C28</f>
        <v>0</v>
      </c>
      <c r="F50" s="43">
        <f>-'Economic parameters'!C22*'Economic parameters'!C29</f>
        <v>-200000</v>
      </c>
      <c r="G50" s="43">
        <f>-'Economic parameters'!C22*'Economic parameters'!C30</f>
        <v>-800000</v>
      </c>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c r="AR50" s="42"/>
      <c r="AS50" s="42"/>
      <c r="AT50" s="42"/>
      <c r="AU50" s="42"/>
      <c r="AV50" s="42"/>
      <c r="AW50" s="42"/>
      <c r="AX50" s="42"/>
      <c r="AY50" s="42"/>
      <c r="AZ50" s="42"/>
      <c r="BA50" s="42"/>
      <c r="BB50" s="42"/>
      <c r="BC50" s="42"/>
      <c r="BD50" s="42"/>
      <c r="BE50" s="42"/>
    </row>
    <row r="51" spans="3:57" ht="14.7" customHeight="1" thickBot="1">
      <c r="C51" s="403"/>
      <c r="D51" s="64" t="s">
        <v>154</v>
      </c>
      <c r="E51" s="82"/>
      <c r="F51" s="83"/>
      <c r="G51" s="83"/>
      <c r="H51" s="66"/>
      <c r="I51" s="65"/>
      <c r="J51" s="65"/>
      <c r="K51" s="65"/>
      <c r="L51" s="66"/>
      <c r="M51" s="65"/>
      <c r="N51" s="65"/>
      <c r="O51" s="65"/>
      <c r="P51" s="65"/>
      <c r="Q51" s="66"/>
      <c r="R51" s="65"/>
      <c r="S51" s="65"/>
      <c r="T51" s="65"/>
      <c r="U51" s="65"/>
      <c r="V51" s="66"/>
      <c r="W51" s="65"/>
      <c r="X51" s="65"/>
      <c r="Y51" s="65"/>
      <c r="Z51" s="65"/>
      <c r="AA51" s="66"/>
      <c r="AB51" s="65"/>
      <c r="AC51" s="65"/>
      <c r="AD51" s="65"/>
      <c r="AE51" s="65"/>
      <c r="AF51" s="66"/>
      <c r="AG51" s="65"/>
      <c r="AH51" s="65"/>
      <c r="AI51" s="65"/>
      <c r="AJ51" s="65"/>
      <c r="AK51" s="65"/>
      <c r="AL51" s="65"/>
      <c r="AM51" s="65"/>
      <c r="AN51" s="65"/>
      <c r="AO51" s="65"/>
      <c r="AP51" s="65"/>
      <c r="AQ51" s="65"/>
      <c r="AR51" s="65"/>
      <c r="AS51" s="65"/>
      <c r="AT51" s="65"/>
      <c r="AU51" s="65"/>
      <c r="AV51" s="65"/>
      <c r="AW51" s="65"/>
      <c r="AX51" s="65"/>
      <c r="AY51" s="65"/>
      <c r="AZ51" s="65"/>
      <c r="BA51" s="65"/>
      <c r="BB51" s="65"/>
      <c r="BC51" s="65"/>
      <c r="BD51" s="65"/>
      <c r="BE51" s="65"/>
    </row>
    <row r="52" spans="3:57" ht="15" customHeight="1" thickTop="1">
      <c r="C52" s="403"/>
      <c r="D52" s="61" t="s">
        <v>105</v>
      </c>
      <c r="E52" s="43">
        <f>E48+E49+E51+E50</f>
        <v>-10902046.947874911</v>
      </c>
      <c r="F52" s="43">
        <f t="shared" ref="F52:BE52" si="11">F48+F49+F51+F50</f>
        <v>-12207194.726834062</v>
      </c>
      <c r="G52" s="43">
        <f t="shared" si="11"/>
        <v>-16122638.063711517</v>
      </c>
      <c r="H52" s="43">
        <f t="shared" si="11"/>
        <v>0</v>
      </c>
      <c r="I52" s="43">
        <f t="shared" si="11"/>
        <v>0</v>
      </c>
      <c r="J52" s="43">
        <f t="shared" si="11"/>
        <v>0</v>
      </c>
      <c r="K52" s="43">
        <f t="shared" si="11"/>
        <v>0</v>
      </c>
      <c r="L52" s="43">
        <f t="shared" si="11"/>
        <v>0</v>
      </c>
      <c r="M52" s="43">
        <f t="shared" si="11"/>
        <v>0</v>
      </c>
      <c r="N52" s="43">
        <f t="shared" si="11"/>
        <v>0</v>
      </c>
      <c r="O52" s="43">
        <f t="shared" si="11"/>
        <v>0</v>
      </c>
      <c r="P52" s="43">
        <f t="shared" si="11"/>
        <v>0</v>
      </c>
      <c r="Q52" s="43">
        <f t="shared" si="11"/>
        <v>0</v>
      </c>
      <c r="R52" s="43">
        <f t="shared" si="11"/>
        <v>0</v>
      </c>
      <c r="S52" s="43">
        <f t="shared" si="11"/>
        <v>0</v>
      </c>
      <c r="T52" s="43">
        <f t="shared" si="11"/>
        <v>0</v>
      </c>
      <c r="U52" s="43">
        <f t="shared" si="11"/>
        <v>0</v>
      </c>
      <c r="V52" s="43">
        <f t="shared" si="11"/>
        <v>0</v>
      </c>
      <c r="W52" s="43">
        <f t="shared" si="11"/>
        <v>0</v>
      </c>
      <c r="X52" s="43">
        <f t="shared" si="11"/>
        <v>0</v>
      </c>
      <c r="Y52" s="43">
        <f t="shared" si="11"/>
        <v>0</v>
      </c>
      <c r="Z52" s="43">
        <f t="shared" si="11"/>
        <v>0</v>
      </c>
      <c r="AA52" s="43">
        <f t="shared" si="11"/>
        <v>0</v>
      </c>
      <c r="AB52" s="43">
        <f t="shared" si="11"/>
        <v>0</v>
      </c>
      <c r="AC52" s="43">
        <f t="shared" si="11"/>
        <v>0</v>
      </c>
      <c r="AD52" s="43">
        <f t="shared" si="11"/>
        <v>0</v>
      </c>
      <c r="AE52" s="43">
        <f t="shared" si="11"/>
        <v>0</v>
      </c>
      <c r="AF52" s="43">
        <f t="shared" si="11"/>
        <v>0</v>
      </c>
      <c r="AG52" s="43">
        <f t="shared" si="11"/>
        <v>0</v>
      </c>
      <c r="AH52" s="43">
        <f t="shared" si="11"/>
        <v>0</v>
      </c>
      <c r="AI52" s="43">
        <f t="shared" si="11"/>
        <v>0</v>
      </c>
      <c r="AJ52" s="43">
        <f t="shared" si="11"/>
        <v>0</v>
      </c>
      <c r="AK52" s="43">
        <f t="shared" si="11"/>
        <v>0</v>
      </c>
      <c r="AL52" s="43">
        <f t="shared" si="11"/>
        <v>0</v>
      </c>
      <c r="AM52" s="43">
        <f t="shared" si="11"/>
        <v>0</v>
      </c>
      <c r="AN52" s="43">
        <f t="shared" si="11"/>
        <v>0</v>
      </c>
      <c r="AO52" s="43">
        <f t="shared" si="11"/>
        <v>0</v>
      </c>
      <c r="AP52" s="43">
        <f t="shared" si="11"/>
        <v>0</v>
      </c>
      <c r="AQ52" s="43">
        <f t="shared" si="11"/>
        <v>0</v>
      </c>
      <c r="AR52" s="43">
        <f t="shared" si="11"/>
        <v>0</v>
      </c>
      <c r="AS52" s="43">
        <f t="shared" si="11"/>
        <v>0</v>
      </c>
      <c r="AT52" s="43">
        <f t="shared" si="11"/>
        <v>0</v>
      </c>
      <c r="AU52" s="43">
        <f t="shared" si="11"/>
        <v>0</v>
      </c>
      <c r="AV52" s="43">
        <f t="shared" si="11"/>
        <v>0</v>
      </c>
      <c r="AW52" s="43">
        <f t="shared" si="11"/>
        <v>0</v>
      </c>
      <c r="AX52" s="43">
        <f t="shared" si="11"/>
        <v>0</v>
      </c>
      <c r="AY52" s="43">
        <f t="shared" si="11"/>
        <v>0</v>
      </c>
      <c r="AZ52" s="43">
        <f t="shared" si="11"/>
        <v>0</v>
      </c>
      <c r="BA52" s="43">
        <f t="shared" si="11"/>
        <v>0</v>
      </c>
      <c r="BB52" s="43">
        <f t="shared" si="11"/>
        <v>0</v>
      </c>
      <c r="BC52" s="43">
        <f t="shared" si="11"/>
        <v>0</v>
      </c>
      <c r="BD52" s="43">
        <f t="shared" si="11"/>
        <v>0</v>
      </c>
      <c r="BE52" s="43">
        <f t="shared" si="11"/>
        <v>0</v>
      </c>
    </row>
    <row r="53" spans="3:57" ht="7.35" customHeight="1">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row>
    <row r="54" spans="3:57" ht="19.95" customHeight="1">
      <c r="C54" s="408" t="s">
        <v>138</v>
      </c>
      <c r="D54" s="67" t="s">
        <v>106</v>
      </c>
      <c r="E54" s="68">
        <f>E46+E52</f>
        <v>-10902046.947874911</v>
      </c>
      <c r="F54" s="68">
        <f t="shared" ref="F54:BE54" si="12">F46+F52</f>
        <v>-12207194.726834062</v>
      </c>
      <c r="G54" s="68">
        <f t="shared" si="12"/>
        <v>-16122638.063711517</v>
      </c>
      <c r="H54" s="68">
        <f t="shared" si="12"/>
        <v>3743862.5757517982</v>
      </c>
      <c r="I54" s="68">
        <f t="shared" si="12"/>
        <v>4001358.4149326459</v>
      </c>
      <c r="J54" s="68">
        <f t="shared" si="12"/>
        <v>4258854.2541134935</v>
      </c>
      <c r="K54" s="68">
        <f t="shared" si="12"/>
        <v>4516350.0932943411</v>
      </c>
      <c r="L54" s="68">
        <f t="shared" si="12"/>
        <v>4773845.9324751906</v>
      </c>
      <c r="M54" s="68">
        <f t="shared" si="12"/>
        <v>5031341.7716560364</v>
      </c>
      <c r="N54" s="68">
        <f t="shared" si="12"/>
        <v>5288837.6108368859</v>
      </c>
      <c r="O54" s="68">
        <f t="shared" si="12"/>
        <v>5546333.4500177316</v>
      </c>
      <c r="P54" s="68">
        <f t="shared" si="12"/>
        <v>5803829.2891985811</v>
      </c>
      <c r="Q54" s="68">
        <f t="shared" si="12"/>
        <v>6061325.1283794269</v>
      </c>
      <c r="R54" s="68">
        <f t="shared" si="12"/>
        <v>6318820.9675602745</v>
      </c>
      <c r="S54" s="68">
        <f t="shared" si="12"/>
        <v>6576316.8067411222</v>
      </c>
      <c r="T54" s="68">
        <f t="shared" si="12"/>
        <v>6833812.6459219698</v>
      </c>
      <c r="U54" s="68">
        <f t="shared" si="12"/>
        <v>7091308.4851028174</v>
      </c>
      <c r="V54" s="68">
        <f t="shared" si="12"/>
        <v>7348804.324283665</v>
      </c>
      <c r="W54" s="68">
        <f t="shared" si="12"/>
        <v>7606300.1634645127</v>
      </c>
      <c r="X54" s="68">
        <f t="shared" si="12"/>
        <v>7863796.0026453603</v>
      </c>
      <c r="Y54" s="68">
        <f t="shared" si="12"/>
        <v>8121291.8418262079</v>
      </c>
      <c r="Z54" s="68">
        <f t="shared" si="12"/>
        <v>8378787.6810070556</v>
      </c>
      <c r="AA54" s="68">
        <f t="shared" si="12"/>
        <v>8636283.5201879032</v>
      </c>
      <c r="AB54" s="68">
        <f t="shared" si="12"/>
        <v>8893779.3593687508</v>
      </c>
      <c r="AC54" s="68">
        <f t="shared" si="12"/>
        <v>9151275.1985495985</v>
      </c>
      <c r="AD54" s="68">
        <f t="shared" si="12"/>
        <v>9408771.0377304461</v>
      </c>
      <c r="AE54" s="68">
        <f t="shared" si="12"/>
        <v>9666266.8769112937</v>
      </c>
      <c r="AF54" s="68">
        <f t="shared" si="12"/>
        <v>9923762.7160921413</v>
      </c>
      <c r="AG54" s="68">
        <f t="shared" si="12"/>
        <v>7939010.1728737131</v>
      </c>
      <c r="AH54" s="68">
        <f t="shared" si="12"/>
        <v>7939010.1728737131</v>
      </c>
      <c r="AI54" s="68">
        <f t="shared" si="12"/>
        <v>7939010.1728737131</v>
      </c>
      <c r="AJ54" s="68">
        <f t="shared" si="12"/>
        <v>7939010.1728737131</v>
      </c>
      <c r="AK54" s="68">
        <f t="shared" si="12"/>
        <v>7939010.1728737131</v>
      </c>
      <c r="AL54" s="68">
        <f t="shared" si="12"/>
        <v>7939010.1728737131</v>
      </c>
      <c r="AM54" s="68">
        <f t="shared" si="12"/>
        <v>7939010.1728737131</v>
      </c>
      <c r="AN54" s="68">
        <f t="shared" si="12"/>
        <v>7939010.1728737131</v>
      </c>
      <c r="AO54" s="68">
        <f t="shared" si="12"/>
        <v>7939010.1728737131</v>
      </c>
      <c r="AP54" s="68">
        <f t="shared" si="12"/>
        <v>7939010.1728737131</v>
      </c>
      <c r="AQ54" s="68">
        <f t="shared" si="12"/>
        <v>7939010.1728737131</v>
      </c>
      <c r="AR54" s="68">
        <f t="shared" si="12"/>
        <v>7939010.1728737131</v>
      </c>
      <c r="AS54" s="68">
        <f t="shared" si="12"/>
        <v>7939010.1728737131</v>
      </c>
      <c r="AT54" s="68">
        <f t="shared" si="12"/>
        <v>7939010.1728737131</v>
      </c>
      <c r="AU54" s="68">
        <f t="shared" si="12"/>
        <v>7939010.1728737131</v>
      </c>
      <c r="AV54" s="68">
        <f t="shared" si="12"/>
        <v>7939010.1728737131</v>
      </c>
      <c r="AW54" s="68">
        <f t="shared" si="12"/>
        <v>7939010.1728737131</v>
      </c>
      <c r="AX54" s="68">
        <f t="shared" si="12"/>
        <v>7939010.1728737131</v>
      </c>
      <c r="AY54" s="68">
        <f t="shared" si="12"/>
        <v>7939010.1728737131</v>
      </c>
      <c r="AZ54" s="68">
        <f t="shared" si="12"/>
        <v>7939010.1728737131</v>
      </c>
      <c r="BA54" s="68">
        <f t="shared" si="12"/>
        <v>7939010.1728737131</v>
      </c>
      <c r="BB54" s="68">
        <f t="shared" si="12"/>
        <v>7939010.1728737131</v>
      </c>
      <c r="BC54" s="68">
        <f t="shared" si="12"/>
        <v>7939010.1728737131</v>
      </c>
      <c r="BD54" s="68">
        <f t="shared" si="12"/>
        <v>7939010.1728737131</v>
      </c>
      <c r="BE54" s="68">
        <f t="shared" si="12"/>
        <v>7939010.1728737131</v>
      </c>
    </row>
    <row r="55" spans="3:57" ht="19.95" customHeight="1">
      <c r="C55" s="408"/>
      <c r="D55" s="69" t="s">
        <v>107</v>
      </c>
      <c r="E55" s="68">
        <f>E54/((1+'Economic parameters'!$C$40)^E5)</f>
        <v>-10902046.947874911</v>
      </c>
      <c r="F55" s="68">
        <f>F54/((1+'Economic parameters'!$C$40)^F5)</f>
        <v>-11577384.98371971</v>
      </c>
      <c r="G55" s="68">
        <f>G54/((1+'Economic parameters'!$C$40)^G5)</f>
        <v>-14501913.492962647</v>
      </c>
      <c r="H55" s="68">
        <f>H54/((1+'Economic parameters'!$C$40)^H5)</f>
        <v>3193770.515051947</v>
      </c>
      <c r="I55" s="68">
        <f>I54/((1+'Economic parameters'!$C$40)^I5)</f>
        <v>3237321.7517529391</v>
      </c>
      <c r="J55" s="68">
        <f>J54/((1+'Economic parameters'!$C$40)^J5)</f>
        <v>3267877.6772741997</v>
      </c>
      <c r="K55" s="68">
        <f>K54/((1+'Economic parameters'!$C$40)^K5)</f>
        <v>3286663.3064217186</v>
      </c>
      <c r="L55" s="68">
        <f>L54/((1+'Economic parameters'!$C$40)^L5)</f>
        <v>3294811.8406737964</v>
      </c>
      <c r="M55" s="68">
        <f>M54/((1+'Economic parameters'!$C$40)^M5)</f>
        <v>3293370.8812590344</v>
      </c>
      <c r="N55" s="68">
        <f>N54/((1+'Economic parameters'!$C$40)^N5)</f>
        <v>3283308.2455228963</v>
      </c>
      <c r="O55" s="68">
        <f>O54/((1+'Economic parameters'!$C$40)^O5)</f>
        <v>3265517.4109796989</v>
      </c>
      <c r="P55" s="68">
        <f>P54/((1+'Economic parameters'!$C$40)^P5)</f>
        <v>3240822.6099855774</v>
      </c>
      <c r="Q55" s="68">
        <f>Q54/((1+'Economic parameters'!$C$40)^Q5)</f>
        <v>3209983.5965922382</v>
      </c>
      <c r="R55" s="68">
        <f>R54/((1+'Economic parameters'!$C$40)^R5)</f>
        <v>3173700.1058467678</v>
      </c>
      <c r="S55" s="68">
        <f>S54/((1+'Economic parameters'!$C$40)^S5)</f>
        <v>3132616.0245841565</v>
      </c>
      <c r="T55" s="68">
        <f>T54/((1+'Economic parameters'!$C$40)^T5)</f>
        <v>3087323.2916125855</v>
      </c>
      <c r="U55" s="68">
        <f>U54/((1+'Economic parameters'!$C$40)^U5)</f>
        <v>3038365.544112409</v>
      </c>
      <c r="V55" s="68">
        <f>V54/((1+'Economic parameters'!$C$40)^V5)</f>
        <v>2986241.5260544</v>
      </c>
      <c r="W55" s="68">
        <f>W54/((1+'Economic parameters'!$C$40)^W5)</f>
        <v>2931408.2734874468</v>
      </c>
      <c r="X55" s="68">
        <f>X54/((1+'Economic parameters'!$C$40)^X5)</f>
        <v>2874284.0906470343</v>
      </c>
      <c r="Y55" s="68">
        <f>Y54/((1+'Economic parameters'!$C$40)^Y5)</f>
        <v>2815251.3299901686</v>
      </c>
      <c r="Z55" s="68">
        <f>Z54/((1+'Economic parameters'!$C$40)^Z5)</f>
        <v>2754658.9884669222</v>
      </c>
      <c r="AA55" s="68">
        <f>AA54/((1+'Economic parameters'!$C$40)^AA5)</f>
        <v>2692825.1315904171</v>
      </c>
      <c r="AB55" s="68">
        <f>AB54/((1+'Economic parameters'!$C$40)^AB5)</f>
        <v>2630039.1561632087</v>
      </c>
      <c r="AC55" s="68">
        <f>AC54/((1+'Economic parameters'!$C$40)^AC5)</f>
        <v>2566563.9018560252</v>
      </c>
      <c r="AD55" s="68">
        <f>AD54/((1+'Economic parameters'!$C$40)^AD5)</f>
        <v>2502637.6212121812</v>
      </c>
      <c r="AE55" s="68">
        <f>AE54/((1+'Economic parameters'!$C$40)^AE5)</f>
        <v>2438475.8170655048</v>
      </c>
      <c r="AF55" s="68">
        <f>AF54/((1+'Economic parameters'!$C$40)^AF5)</f>
        <v>2374272.9558090302</v>
      </c>
      <c r="AG55" s="68">
        <f>AG54/((1+'Economic parameters'!$C$40)^AG5)</f>
        <v>1801421.0590356831</v>
      </c>
      <c r="AH55" s="68">
        <f>AH54/((1+'Economic parameters'!$C$40)^AH5)</f>
        <v>1708479.7600869527</v>
      </c>
      <c r="AI55" s="68">
        <f>AI54/((1+'Economic parameters'!$C$40)^AI5)</f>
        <v>1620333.611615092</v>
      </c>
      <c r="AJ55" s="68">
        <f>AJ54/((1+'Economic parameters'!$C$40)^AJ5)</f>
        <v>1536735.2158716731</v>
      </c>
      <c r="AK55" s="68">
        <f>AK54/((1+'Economic parameters'!$C$40)^AK5)</f>
        <v>1457449.9391802663</v>
      </c>
      <c r="AL55" s="68">
        <f>AL54/((1+'Economic parameters'!$C$40)^AL5)</f>
        <v>1382255.2533955486</v>
      </c>
      <c r="AM55" s="68">
        <f>AM54/((1+'Economic parameters'!$C$40)^AM5)</f>
        <v>1310940.1113387221</v>
      </c>
      <c r="AN55" s="68">
        <f>AN54/((1+'Economic parameters'!$C$40)^AN5)</f>
        <v>1243304.3544562995</v>
      </c>
      <c r="AO55" s="68">
        <f>AO54/((1+'Economic parameters'!$C$40)^AO5)</f>
        <v>1179158.151039738</v>
      </c>
      <c r="AP55" s="68">
        <f>AP54/((1+'Economic parameters'!$C$40)^AP5)</f>
        <v>1118321.4634291898</v>
      </c>
      <c r="AQ55" s="68">
        <f>AQ54/((1+'Economic parameters'!$C$40)^AQ5)</f>
        <v>1060623.5427059843</v>
      </c>
      <c r="AR55" s="68">
        <f>AR54/((1+'Economic parameters'!$C$40)^AR5)</f>
        <v>1005902.4494555998</v>
      </c>
      <c r="AS55" s="68">
        <f>AS54/((1+'Economic parameters'!$C$40)^AS5)</f>
        <v>954004.59925606952</v>
      </c>
      <c r="AT55" s="68">
        <f>AT54/((1+'Economic parameters'!$C$40)^AT5)</f>
        <v>904784.33161615103</v>
      </c>
      <c r="AU55" s="68">
        <f>AU54/((1+'Economic parameters'!$C$40)^AU5)</f>
        <v>858103.50115340576</v>
      </c>
      <c r="AV55" s="68">
        <f>AV54/((1+'Economic parameters'!$C$40)^AV5)</f>
        <v>813831.08986476262</v>
      </c>
      <c r="AW55" s="68">
        <f>AW54/((1+'Economic parameters'!$C$40)^AW5)</f>
        <v>771842.83940133033</v>
      </c>
      <c r="AX55" s="68">
        <f>AX54/((1+'Economic parameters'!$C$40)^AX5)</f>
        <v>732020.902315374</v>
      </c>
      <c r="AY55" s="68">
        <f>AY54/((1+'Economic parameters'!$C$40)^AY5)</f>
        <v>694253.51130062027</v>
      </c>
      <c r="AZ55" s="68">
        <f>AZ54/((1+'Economic parameters'!$C$40)^AZ5)</f>
        <v>658434.66549755342</v>
      </c>
      <c r="BA55" s="68">
        <f>BA54/((1+'Economic parameters'!$C$40)^BA5)</f>
        <v>624463.83298326377</v>
      </c>
      <c r="BB55" s="68">
        <f>BB54/((1+'Economic parameters'!$C$40)^BB5)</f>
        <v>592245.66861083452</v>
      </c>
      <c r="BC55" s="68">
        <f>BC54/((1+'Economic parameters'!$C$40)^BC5)</f>
        <v>561689.74640633003</v>
      </c>
      <c r="BD55" s="68">
        <f>BD54/((1+'Economic parameters'!$C$40)^BD5)</f>
        <v>532710.30577231618</v>
      </c>
      <c r="BE55" s="68">
        <f>BE54/((1+'Economic parameters'!$C$40)^BE5)</f>
        <v>505226.01078558061</v>
      </c>
    </row>
    <row r="56" spans="3:57" ht="19.95" customHeight="1">
      <c r="C56" s="408"/>
      <c r="D56" s="67" t="s">
        <v>108</v>
      </c>
      <c r="E56" s="68">
        <f>E54*(1+'Economic parameters'!$C$14)^'Cash-Flow Model GeoVision'!E5</f>
        <v>-10902046.947874911</v>
      </c>
      <c r="F56" s="68">
        <f>F54*(1+'Economic parameters'!$C$14)^'Cash-Flow Model GeoVision'!F5</f>
        <v>-12329266.674102403</v>
      </c>
      <c r="G56" s="68">
        <f>G54*(1+'Economic parameters'!$C$14)^'Cash-Flow Model GeoVision'!G5</f>
        <v>-16446703.088792117</v>
      </c>
      <c r="H56" s="68">
        <f>H54*(1+'Economic parameters'!$C$14)^'Cash-Flow Model GeoVision'!H5</f>
        <v>3857305.355659653</v>
      </c>
      <c r="I56" s="68">
        <f>I54*(1+'Economic parameters'!$C$14)^'Cash-Flow Model GeoVision'!I5</f>
        <v>4163829.6120261555</v>
      </c>
      <c r="J56" s="68">
        <f>J54*(1+'Economic parameters'!$C$14)^'Cash-Flow Model GeoVision'!J5</f>
        <v>4476098.6229844205</v>
      </c>
      <c r="K56" s="68">
        <f>K54*(1+'Economic parameters'!$C$14)^'Cash-Flow Model GeoVision'!K5</f>
        <v>4794196.6312006498</v>
      </c>
      <c r="L56" s="68">
        <f>L54*(1+'Economic parameters'!$C$14)^'Cash-Flow Model GeoVision'!L5</f>
        <v>5118208.9897189047</v>
      </c>
      <c r="M56" s="68">
        <f>M54*(1+'Economic parameters'!$C$14)^'Cash-Flow Model GeoVision'!M5</f>
        <v>5448222.1757444041</v>
      </c>
      <c r="N56" s="68">
        <f>N54*(1+'Economic parameters'!$C$14)^'Cash-Flow Model GeoVision'!N5</f>
        <v>5784323.8045914443</v>
      </c>
      <c r="O56" s="68">
        <f>O54*(1+'Economic parameters'!$C$14)^'Cash-Flow Model GeoVision'!O5</f>
        <v>6126602.6437978465</v>
      </c>
      <c r="P56" s="68">
        <f>P54*(1+'Economic parameters'!$C$14)^'Cash-Flow Model GeoVision'!P5</f>
        <v>6475148.6274079205</v>
      </c>
      <c r="Q56" s="68">
        <f>Q54*(1+'Economic parameters'!$C$14)^'Cash-Flow Model GeoVision'!Q5</f>
        <v>6830052.8704258129</v>
      </c>
      <c r="R56" s="68">
        <f>R54*(1+'Economic parameters'!$C$14)^'Cash-Flow Model GeoVision'!R5</f>
        <v>7191407.6834413251</v>
      </c>
      <c r="S56" s="68">
        <f>S54*(1+'Economic parameters'!$C$14)^'Cash-Flow Model GeoVision'!S5</f>
        <v>7559306.5874301055</v>
      </c>
      <c r="T56" s="68">
        <f>T54*(1+'Economic parameters'!$C$14)^'Cash-Flow Model GeoVision'!T5</f>
        <v>7933844.328730314</v>
      </c>
      <c r="U56" s="68">
        <f>U54*(1+'Economic parameters'!$C$14)^'Cash-Flow Model GeoVision'!U5</f>
        <v>8315116.894197789</v>
      </c>
      <c r="V56" s="68">
        <f>V54*(1+'Economic parameters'!$C$14)^'Cash-Flow Model GeoVision'!V5</f>
        <v>8703221.5265417378</v>
      </c>
      <c r="W56" s="68">
        <f>W54*(1+'Economic parameters'!$C$14)^'Cash-Flow Model GeoVision'!W5</f>
        <v>9098256.7398431469</v>
      </c>
      <c r="X56" s="68">
        <f>X54*(1+'Economic parameters'!$C$14)^'Cash-Flow Model GeoVision'!X5</f>
        <v>9500322.3352579251</v>
      </c>
      <c r="Y56" s="68">
        <f>Y54*(1+'Economic parameters'!$C$14)^'Cash-Flow Model GeoVision'!Y5</f>
        <v>9909519.4169070199</v>
      </c>
      <c r="Z56" s="68">
        <f>Z54*(1+'Economic parameters'!$C$14)^'Cash-Flow Model GeoVision'!Z5</f>
        <v>10325950.407955568</v>
      </c>
      <c r="AA56" s="68">
        <f>AA54*(1+'Economic parameters'!$C$14)^'Cash-Flow Model GeoVision'!AA5</f>
        <v>10749719.0668834</v>
      </c>
      <c r="AB56" s="68">
        <f>AB54*(1+'Economic parameters'!$C$14)^'Cash-Flow Model GeoVision'!AB5</f>
        <v>11180930.503948988</v>
      </c>
      <c r="AC56" s="68">
        <f>AC54*(1+'Economic parameters'!$C$14)^'Cash-Flow Model GeoVision'!AC5</f>
        <v>11619691.197849205</v>
      </c>
      <c r="AD56" s="68">
        <f>AD54*(1+'Economic parameters'!$C$14)^'Cash-Flow Model GeoVision'!AD5</f>
        <v>12066109.012577029</v>
      </c>
      <c r="AE56" s="68">
        <f>AE54*(1+'Economic parameters'!$C$14)^'Cash-Flow Model GeoVision'!AE5</f>
        <v>12520293.214479623</v>
      </c>
      <c r="AF56" s="68">
        <f>AF54*(1+'Economic parameters'!$C$14)^'Cash-Flow Model GeoVision'!AF5</f>
        <v>12982354.489519009</v>
      </c>
      <c r="AG56" s="68">
        <f>AG54*(1+'Economic parameters'!$C$14)^'Cash-Flow Model GeoVision'!AG5</f>
        <v>10489742.42753136</v>
      </c>
      <c r="AH56" s="68">
        <f>AH54*(1+'Economic parameters'!$C$14)^'Cash-Flow Model GeoVision'!AH5</f>
        <v>10594639.851806674</v>
      </c>
      <c r="AI56" s="68">
        <f>AI54*(1+'Economic parameters'!$C$14)^'Cash-Flow Model GeoVision'!AI5</f>
        <v>10700586.250324743</v>
      </c>
      <c r="AJ56" s="68">
        <f>AJ54*(1+'Economic parameters'!$C$14)^'Cash-Flow Model GeoVision'!AJ5</f>
        <v>10807592.112827986</v>
      </c>
      <c r="AK56" s="68">
        <f>AK54*(1+'Economic parameters'!$C$14)^'Cash-Flow Model GeoVision'!AK5</f>
        <v>10915668.033956269</v>
      </c>
      <c r="AL56" s="68">
        <f>AL54*(1+'Economic parameters'!$C$14)^'Cash-Flow Model GeoVision'!AL5</f>
        <v>11024824.714295832</v>
      </c>
      <c r="AM56" s="68">
        <f>AM54*(1+'Economic parameters'!$C$14)^'Cash-Flow Model GeoVision'!AM5</f>
        <v>11135072.961438792</v>
      </c>
      <c r="AN56" s="68">
        <f>AN54*(1+'Economic parameters'!$C$14)^'Cash-Flow Model GeoVision'!AN5</f>
        <v>11246423.691053176</v>
      </c>
      <c r="AO56" s="68">
        <f>AO54*(1+'Economic parameters'!$C$14)^'Cash-Flow Model GeoVision'!AO5</f>
        <v>11358887.927963709</v>
      </c>
      <c r="AP56" s="68">
        <f>AP54*(1+'Economic parameters'!$C$14)^'Cash-Flow Model GeoVision'!AP5</f>
        <v>11472476.807243347</v>
      </c>
      <c r="AQ56" s="68">
        <f>AQ54*(1+'Economic parameters'!$C$14)^'Cash-Flow Model GeoVision'!AQ5</f>
        <v>11587201.575315781</v>
      </c>
      <c r="AR56" s="68">
        <f>AR54*(1+'Economic parameters'!$C$14)^'Cash-Flow Model GeoVision'!AR5</f>
        <v>11703073.591068937</v>
      </c>
      <c r="AS56" s="68">
        <f>AS54*(1+'Economic parameters'!$C$14)^'Cash-Flow Model GeoVision'!AS5</f>
        <v>11820104.326979628</v>
      </c>
      <c r="AT56" s="68">
        <f>AT54*(1+'Economic parameters'!$C$14)^'Cash-Flow Model GeoVision'!AT5</f>
        <v>11938305.370249426</v>
      </c>
      <c r="AU56" s="68">
        <f>AU54*(1+'Economic parameters'!$C$14)^'Cash-Flow Model GeoVision'!AU5</f>
        <v>12057688.423951922</v>
      </c>
      <c r="AV56" s="68">
        <f>AV54*(1+'Economic parameters'!$C$14)^'Cash-Flow Model GeoVision'!AV5</f>
        <v>12178265.308191437</v>
      </c>
      <c r="AW56" s="68">
        <f>AW54*(1+'Economic parameters'!$C$14)^'Cash-Flow Model GeoVision'!AW5</f>
        <v>12300047.961273352</v>
      </c>
      <c r="AX56" s="68">
        <f>AX54*(1+'Economic parameters'!$C$14)^'Cash-Flow Model GeoVision'!AX5</f>
        <v>12423048.440886088</v>
      </c>
      <c r="AY56" s="68">
        <f>AY54*(1+'Economic parameters'!$C$14)^'Cash-Flow Model GeoVision'!AY5</f>
        <v>12547278.925294949</v>
      </c>
      <c r="AZ56" s="68">
        <f>AZ54*(1+'Economic parameters'!$C$14)^'Cash-Flow Model GeoVision'!AZ5</f>
        <v>12672751.714547895</v>
      </c>
      <c r="BA56" s="68">
        <f>BA54*(1+'Economic parameters'!$C$14)^'Cash-Flow Model GeoVision'!BA5</f>
        <v>12799479.231693378</v>
      </c>
      <c r="BB56" s="68">
        <f>BB54*(1+'Economic parameters'!$C$14)^'Cash-Flow Model GeoVision'!BB5</f>
        <v>12927474.024010312</v>
      </c>
      <c r="BC56" s="68">
        <f>BC54*(1+'Economic parameters'!$C$14)^'Cash-Flow Model GeoVision'!BC5</f>
        <v>13056748.764250416</v>
      </c>
      <c r="BD56" s="68">
        <f>BD54*(1+'Economic parameters'!$C$14)^'Cash-Flow Model GeoVision'!BD5</f>
        <v>13187316.251892917</v>
      </c>
      <c r="BE56" s="68">
        <f>BE54*(1+'Economic parameters'!$C$14)^'Cash-Flow Model GeoVision'!BE5</f>
        <v>13319189.414411847</v>
      </c>
    </row>
    <row r="57" spans="3:57" ht="19.95" customHeight="1">
      <c r="C57" s="408"/>
      <c r="D57" s="70" t="s">
        <v>109</v>
      </c>
      <c r="E57" s="63">
        <f>E56/((1+'Economic parameters'!$C$40)^'Cash-Flow Model GeoVision'!E5)</f>
        <v>-10902046.947874911</v>
      </c>
      <c r="F57" s="63">
        <f>F56/((1+'Economic parameters'!$C$40)^'Cash-Flow Model GeoVision'!F5)</f>
        <v>-11693158.833556907</v>
      </c>
      <c r="G57" s="63">
        <f>G56/((1+'Economic parameters'!$C$40)^'Cash-Flow Model GeoVision'!G5)</f>
        <v>-14793401.954171196</v>
      </c>
      <c r="H57" s="63">
        <f>H56/((1+'Economic parameters'!$C$40)^'Cash-Flow Model GeoVision'!H5)</f>
        <v>3290544.9554285356</v>
      </c>
      <c r="I57" s="63">
        <f>I56/((1+'Economic parameters'!$C$40)^'Cash-Flow Model GeoVision'!I5)</f>
        <v>3368769.9965343331</v>
      </c>
      <c r="J57" s="63">
        <f>J56/((1+'Economic parameters'!$C$40)^'Cash-Flow Model GeoVision'!J5)</f>
        <v>3434572.2813126282</v>
      </c>
      <c r="K57" s="63">
        <f>K56/((1+'Economic parameters'!$C$40)^'Cash-Flow Model GeoVision'!K5)</f>
        <v>3488859.3280075635</v>
      </c>
      <c r="L57" s="63">
        <f>L56/((1+'Economic parameters'!$C$40)^'Cash-Flow Model GeoVision'!L5)</f>
        <v>3532484.2529271455</v>
      </c>
      <c r="M57" s="63">
        <f>M56/((1+'Economic parameters'!$C$40)^'Cash-Flow Model GeoVision'!M5)</f>
        <v>3566248.7428916055</v>
      </c>
      <c r="N57" s="63">
        <f>N56/((1+'Economic parameters'!$C$40)^'Cash-Flow Model GeoVision'!N5)</f>
        <v>3590905.8738115202</v>
      </c>
      <c r="O57" s="63">
        <f>O56/((1+'Economic parameters'!$C$40)^'Cash-Flow Model GeoVision'!O5)</f>
        <v>3607162.7830836899</v>
      </c>
      <c r="P57" s="63">
        <f>P56/((1+'Economic parameters'!$C$40)^'Cash-Flow Model GeoVision'!P5)</f>
        <v>3615683.2031181855</v>
      </c>
      <c r="Q57" s="63">
        <f>Q56/((1+'Economic parameters'!$C$40)^'Cash-Flow Model GeoVision'!Q5)</f>
        <v>3617089.8629531772</v>
      </c>
      <c r="R57" s="63">
        <f>R56/((1+'Economic parameters'!$C$40)^'Cash-Flow Model GeoVision'!R5)</f>
        <v>3611966.764574626</v>
      </c>
      <c r="S57" s="63">
        <f>S56/((1+'Economic parameters'!$C$40)^'Cash-Flow Model GeoVision'!S5)</f>
        <v>3600861.3402344421</v>
      </c>
      <c r="T57" s="63">
        <f>T56/((1+'Economic parameters'!$C$40)^'Cash-Flow Model GeoVision'!T5)</f>
        <v>3584286.4967529285</v>
      </c>
      <c r="U57" s="63">
        <f>U56/((1+'Economic parameters'!$C$40)^'Cash-Flow Model GeoVision'!U5)</f>
        <v>3562722.5524981855</v>
      </c>
      <c r="V57" s="63">
        <f>V56/((1+'Economic parameters'!$C$40)^'Cash-Flow Model GeoVision'!V5)</f>
        <v>3536619.0724561042</v>
      </c>
      <c r="W57" s="63">
        <f>W56/((1+'Economic parameters'!$C$40)^'Cash-Flow Model GeoVision'!W5)</f>
        <v>3506396.6065390157</v>
      </c>
      <c r="X57" s="63">
        <f>X56/((1+'Economic parameters'!$C$40)^'Cash-Flow Model GeoVision'!X5)</f>
        <v>3472448.3360281293</v>
      </c>
      <c r="Y57" s="63">
        <f>Y56/((1+'Economic parameters'!$C$40)^'Cash-Flow Model GeoVision'!Y5)</f>
        <v>3435141.6328042713</v>
      </c>
      <c r="Z57" s="63">
        <f>Z56/((1+'Economic parameters'!$C$40)^'Cash-Flow Model GeoVision'!Z5)</f>
        <v>3394819.5357922851</v>
      </c>
      <c r="AA57" s="63">
        <f>AA56/((1+'Economic parameters'!$C$40)^'Cash-Flow Model GeoVision'!AA5)</f>
        <v>3351802.1488264538</v>
      </c>
      <c r="AB57" s="63">
        <f>AB56/((1+'Economic parameters'!$C$40)^'Cash-Flow Model GeoVision'!AB5)</f>
        <v>3306387.9639366986</v>
      </c>
      <c r="AC57" s="63">
        <f>AC56/((1+'Economic parameters'!$C$40)^'Cash-Flow Model GeoVision'!AC5)</f>
        <v>3258855.1138578607</v>
      </c>
      <c r="AD57" s="63">
        <f>AD56/((1+'Economic parameters'!$C$40)^'Cash-Flow Model GeoVision'!AD5)</f>
        <v>3209462.5573763228</v>
      </c>
      <c r="AE57" s="63">
        <f>AE56/((1+'Economic parameters'!$C$40)^'Cash-Flow Model GeoVision'!AE5)</f>
        <v>3158451.2009494016</v>
      </c>
      <c r="AF57" s="63">
        <f>AF56/((1+'Economic parameters'!$C$40)^'Cash-Flow Model GeoVision'!AF5)</f>
        <v>3106044.9598626555</v>
      </c>
      <c r="AG57" s="63">
        <f>AG56/((1+'Economic parameters'!$C$40)^'Cash-Flow Model GeoVision'!AG5)</f>
        <v>2380201.3728841292</v>
      </c>
      <c r="AH57" s="63">
        <f>AH56/((1+'Economic parameters'!$C$40)^'Cash-Flow Model GeoVision'!AH5)</f>
        <v>2279972.8628726956</v>
      </c>
      <c r="AI57" s="63">
        <f>AI56/((1+'Economic parameters'!$C$40)^'Cash-Flow Model GeoVision'!AI5)</f>
        <v>2183964.9008928523</v>
      </c>
      <c r="AJ57" s="63">
        <f>AJ56/((1+'Economic parameters'!$C$40)^'Cash-Flow Model GeoVision'!AJ5)</f>
        <v>2091999.7628051783</v>
      </c>
      <c r="AK57" s="63">
        <f>AK56/((1+'Economic parameters'!$C$40)^'Cash-Flow Model GeoVision'!AK5)</f>
        <v>2003907.2083016222</v>
      </c>
      <c r="AL57" s="63">
        <f>AL56/((1+'Economic parameters'!$C$40)^'Cash-Flow Model GeoVision'!AL5)</f>
        <v>1919524.1657669183</v>
      </c>
      <c r="AM57" s="63">
        <f>AM56/((1+'Economic parameters'!$C$40)^'Cash-Flow Model GeoVision'!AM5)</f>
        <v>1838694.4304102689</v>
      </c>
      <c r="AN57" s="63">
        <f>AN56/((1+'Economic parameters'!$C$40)^'Cash-Flow Model GeoVision'!AN5)</f>
        <v>1761268.3751084707</v>
      </c>
      <c r="AO57" s="63">
        <f>AO56/((1+'Economic parameters'!$C$40)^'Cash-Flow Model GeoVision'!AO5)</f>
        <v>1687102.6734252234</v>
      </c>
      <c r="AP57" s="63">
        <f>AP56/((1+'Economic parameters'!$C$40)^'Cash-Flow Model GeoVision'!AP5)</f>
        <v>1616060.0342938881</v>
      </c>
      <c r="AQ57" s="63">
        <f>AQ56/((1+'Economic parameters'!$C$40)^'Cash-Flow Model GeoVision'!AQ5)</f>
        <v>1548008.94787256</v>
      </c>
      <c r="AR57" s="63">
        <f>AR56/((1+'Economic parameters'!$C$40)^'Cash-Flow Model GeoVision'!AR5)</f>
        <v>1482823.4421009913</v>
      </c>
      <c r="AS57" s="63">
        <f>AS56/((1+'Economic parameters'!$C$40)^'Cash-Flow Model GeoVision'!AS5)</f>
        <v>1420382.8495087267</v>
      </c>
      <c r="AT57" s="63">
        <f>AT56/((1+'Economic parameters'!$C$40)^'Cash-Flow Model GeoVision'!AT5)</f>
        <v>1360571.5838427676</v>
      </c>
      <c r="AU57" s="63">
        <f>AU56/((1+'Economic parameters'!$C$40)^'Cash-Flow Model GeoVision'!AU5)</f>
        <v>1303278.9261012857</v>
      </c>
      <c r="AV57" s="63">
        <f>AV56/((1+'Economic parameters'!$C$40)^'Cash-Flow Model GeoVision'!AV5)</f>
        <v>1248398.8195772935</v>
      </c>
      <c r="AW57" s="63">
        <f>AW56/((1+'Economic parameters'!$C$40)^'Cash-Flow Model GeoVision'!AW5)</f>
        <v>1195829.6735328778</v>
      </c>
      <c r="AX57" s="63">
        <f>AX56/((1+'Economic parameters'!$C$40)^'Cash-Flow Model GeoVision'!AX5)</f>
        <v>1145474.1751405604</v>
      </c>
      <c r="AY57" s="63">
        <f>AY56/((1+'Economic parameters'!$C$40)^'Cash-Flow Model GeoVision'!AY5)</f>
        <v>1097239.1093436703</v>
      </c>
      <c r="AZ57" s="63">
        <f>AZ56/((1+'Economic parameters'!$C$40)^'Cash-Flow Model GeoVision'!AZ5)</f>
        <v>1051035.1863022638</v>
      </c>
      <c r="BA57" s="63">
        <f>BA56/((1+'Economic parameters'!$C$40)^'Cash-Flow Model GeoVision'!BA5)</f>
        <v>1006776.8761051656</v>
      </c>
      <c r="BB57" s="63">
        <f>BB56/((1+'Economic parameters'!$C$40)^'Cash-Flow Model GeoVision'!BB5)</f>
        <v>964382.25044216367</v>
      </c>
      <c r="BC57" s="63">
        <f>BC56/((1+'Economic parameters'!$C$40)^'Cash-Flow Model GeoVision'!BC5)</f>
        <v>923772.8309432714</v>
      </c>
      <c r="BD57" s="63">
        <f>BD56/((1+'Economic parameters'!$C$40)^'Cash-Flow Model GeoVision'!BD5)</f>
        <v>884873.44390430953</v>
      </c>
      <c r="BE57" s="63">
        <f>BE56/((1+'Economic parameters'!$C$40)^'Cash-Flow Model GeoVision'!BE5)</f>
        <v>847612.08112988679</v>
      </c>
    </row>
    <row r="60" spans="3:57" ht="20.7" customHeight="1">
      <c r="D60" s="84" t="s">
        <v>160</v>
      </c>
      <c r="E60" s="86" t="s">
        <v>155</v>
      </c>
      <c r="F60" s="85" t="s">
        <v>156</v>
      </c>
      <c r="G60" s="86" t="s">
        <v>157</v>
      </c>
      <c r="H60" s="86" t="s">
        <v>158</v>
      </c>
      <c r="I60" s="87" t="s">
        <v>159</v>
      </c>
    </row>
    <row r="61" spans="3:57" ht="26.7" customHeight="1">
      <c r="C61" s="404" t="s">
        <v>163</v>
      </c>
      <c r="D61" s="90" t="s">
        <v>161</v>
      </c>
      <c r="E61" s="91">
        <f>SUM(E55:AA55)</f>
        <v>25078776.71734909</v>
      </c>
      <c r="F61" s="92">
        <f>SUM(E55:AF55)</f>
        <v>37590766.169455037</v>
      </c>
      <c r="G61" s="91">
        <f>SUM(E55:AK55)</f>
        <v>45715185.755244702</v>
      </c>
      <c r="H61" s="91">
        <f>SUM(E55:AU55)</f>
        <v>56732583.5130914</v>
      </c>
      <c r="I61" s="93">
        <f>SUM(E55:BE55)</f>
        <v>63219302.086029366</v>
      </c>
    </row>
    <row r="62" spans="3:57" ht="26.7" customHeight="1">
      <c r="C62" s="405"/>
      <c r="D62" s="94" t="s">
        <v>162</v>
      </c>
      <c r="E62" s="95">
        <f>SUM(E57:AA57)</f>
        <v>32780778.030971814</v>
      </c>
      <c r="F62" s="96">
        <f>SUM(E57:AF57)</f>
        <v>48819979.826954752</v>
      </c>
      <c r="G62" s="95">
        <f>SUM(E57:AK57)</f>
        <v>59760025.934711233</v>
      </c>
      <c r="H62" s="95">
        <f>SUM(E57:AU57)</f>
        <v>75697741.363142326</v>
      </c>
      <c r="I62" s="97">
        <f>SUM(E57:BE57)</f>
        <v>86063135.809563786</v>
      </c>
    </row>
    <row r="63" spans="3:57" ht="7.35" customHeight="1">
      <c r="C63" s="18"/>
      <c r="D63" s="18"/>
      <c r="E63" s="18"/>
      <c r="F63" s="18"/>
      <c r="G63" s="18"/>
      <c r="H63" s="18"/>
      <c r="I63" s="18"/>
    </row>
    <row r="64" spans="3:57">
      <c r="C64" s="18"/>
      <c r="D64" s="18"/>
      <c r="E64" s="18"/>
      <c r="F64" s="18"/>
      <c r="G64" s="18"/>
      <c r="H64" s="18"/>
      <c r="I64" s="18"/>
    </row>
    <row r="65" spans="3:11">
      <c r="C65" s="18"/>
      <c r="D65" s="18"/>
      <c r="E65" s="18"/>
      <c r="F65" s="18"/>
      <c r="G65" s="18"/>
      <c r="H65" s="18"/>
      <c r="I65" s="18"/>
    </row>
    <row r="66" spans="3:11">
      <c r="C66" s="396" t="s">
        <v>284</v>
      </c>
      <c r="D66" s="98" t="s">
        <v>282</v>
      </c>
      <c r="E66" s="147">
        <f>IF(H17=0,"n/a",((SUM(E55:G55)*(-1)+((-1)*SUM(E32:AA32)*'Cash-Flow Model GeoVision'!H19)+(-1)*SUM(E34:AA34)))/NPV('Economic parameters'!C40,'Cash-Flow Model GeoVision'!H15:AA15))</f>
        <v>373.25210109775702</v>
      </c>
      <c r="F66" s="147">
        <f>IF(H17=0,"n/a",((SUM(E55:G55)*(-1)+((-1)*SUM(E32:AF32)*'Cash-Flow Model GeoVision'!H19)+(-1)*SUM(E34:AF34)))/NPV('Economic parameters'!C40,'Cash-Flow Model GeoVision'!H15:AF15))</f>
        <v>335.86883215048346</v>
      </c>
      <c r="G66" s="147">
        <f>IF(H17=0,"n/a",((SUM(E55:G55)*(-1)+((-1)*SUM(E32:AK32)*'Cash-Flow Model GeoVision'!H19)+(-1)*SUM(E34:AK34)))/NPV('Economic parameters'!C40,'Cash-Flow Model GeoVision'!H15:AK15))</f>
        <v>312.32181141654053</v>
      </c>
      <c r="H66" s="147">
        <f>IF(H17=0,"n/a",((SUM(E55:G55)*(-1)+((-1)*SUM(E32:AU32)*'Cash-Flow Model GeoVision'!H19)+(-1)*SUM(E34:AU34)))/NPV('Economic parameters'!C40,'Cash-Flow Model GeoVision'!H15:AU15))</f>
        <v>285.68241895715204</v>
      </c>
      <c r="I66" s="148">
        <f>IF(H17=0,"n/a",((SUM(E55:G55)*(-1)+((-1)*SUM(E32:BE32)*'Cash-Flow Model GeoVision'!H19)+(-1)*SUM(E34:BE34)))/NPV('Economic parameters'!C40,'Cash-Flow Model GeoVision'!H15:BE15))</f>
        <v>272.24865163392445</v>
      </c>
    </row>
    <row r="67" spans="3:11">
      <c r="C67" s="397"/>
      <c r="D67" s="99" t="s">
        <v>283</v>
      </c>
      <c r="E67" s="149">
        <f>(SUM(E55:G55)*(-1)+(-1)*(SUM(E32:AA32)*'Cash-Flow Model GeoVision'!H20+(-1)*SUM(E36:AA36)))/NPV('Economic parameters'!C40,'Cash-Flow Model GeoVision'!H16:AA16)</f>
        <v>45.192916639904517</v>
      </c>
      <c r="F67" s="149">
        <f>(SUM(E55:G55)*(-1)+(-1)*(SUM(E32:AF32)*'Cash-Flow Model GeoVision'!H20+(-1)*SUM(E36:AF36)))/NPV('Economic parameters'!C40,'Cash-Flow Model GeoVision'!H16:AF16)</f>
        <v>40.288073768224876</v>
      </c>
      <c r="G67" s="149">
        <f>(SUM(E55:G55)*(-1)+(-1)*(SUM(E32:AK32)*'Cash-Flow Model GeoVision'!H20+(-1)*SUM(E36:AK36)))/NPV('Economic parameters'!C40,'Cash-Flow Model GeoVision'!H16:AK16)</f>
        <v>37.198605135637692</v>
      </c>
      <c r="H67" s="149">
        <f>(SUM(E55:G55)*(-1)+(-1)*(SUM(E32:AU32)*'Cash-Flow Model GeoVision'!H20+(-1)*SUM(E36:AU36)))/NPV('Economic parameters'!C40,'Cash-Flow Model GeoVision'!H16:AU16)</f>
        <v>33.703404263969766</v>
      </c>
      <c r="I67" s="150">
        <f>(SUM(E55:G55)*(-1)+(-1)*(SUM(E32:BE32)*'Cash-Flow Model GeoVision'!H20+(-1)*SUM(E36:BE36)))/NPV('Economic parameters'!C40,'Cash-Flow Model GeoVision'!H16:BE16)</f>
        <v>31.940837218587234</v>
      </c>
    </row>
    <row r="68" spans="3:11">
      <c r="D68" s="143"/>
      <c r="E68" s="88"/>
      <c r="F68" s="88"/>
      <c r="G68" s="88"/>
      <c r="H68" s="88"/>
      <c r="I68" s="88"/>
      <c r="J68" s="88"/>
      <c r="K68" s="88"/>
    </row>
    <row r="70" spans="3:11" ht="14.7" customHeight="1">
      <c r="C70" s="396" t="s">
        <v>296</v>
      </c>
      <c r="D70" s="98" t="s">
        <v>297</v>
      </c>
      <c r="E70" s="147">
        <f>IF(H17=0,"n/a",(H19*NPV('Economic parameters'!C40,SUM(E48:AA48)*(-1)+((-1)*SUM(E32:AA32)*H19))/NPV('Economic parameters'!C44,H15:AA15)))</f>
        <v>157.1114746524411</v>
      </c>
      <c r="F70" s="147">
        <f>IF(H17=0,"n/a",(H19*NPV('Economic parameters'!C40,SUM(E48:AF48)*(-1)+((-1)*SUM(E32:AF32)*'Cash-Flow Model GeoVision'!H19))/NPV('Economic parameters'!C44,'Cash-Flow Model GeoVision'!H15:AF15)))</f>
        <v>126.99198498619882</v>
      </c>
      <c r="G70" s="147">
        <f>IF(H17=0,"n/a",(H19*NPV('Economic parameters'!C40,SUM(E48:AK48)*(-1)+((-1)*SUM(E32:AK32)*H19))/NPV('Economic parameters'!C44,H5:AK15)))</f>
        <v>102.2836329192176</v>
      </c>
      <c r="H70" s="147">
        <f>IF(H17=0,"n/a",(H19*NPV('Economic parameters'!C40,SUM(E48:AU48)*(-1)+((-1)*SUM(E32:AU32)*H19))/NPV('Economic parameters'!C44,H15:AU15)))</f>
        <v>80.84204331966815</v>
      </c>
      <c r="I70" s="148">
        <f>IF(H17=0,"n/a",(H19*NPV('Economic parameters'!C40,SUM(E48:BE48)*(-1)+((-1)*SUM(E32:BE32)*H19))/NPV('Economic parameters'!C44,H15:BE15)))</f>
        <v>65.072710310438723</v>
      </c>
    </row>
    <row r="71" spans="3:11">
      <c r="C71" s="397"/>
      <c r="D71" s="99" t="s">
        <v>298</v>
      </c>
      <c r="E71" s="149">
        <f>(H20*NPV('Economic parameters'!C40,SUM(E48:G48))*(-1)+(-1)*(SUM(E32:AA32)*H20))/NPV('Economic parameters'!C44,H16:AA16)</f>
        <v>4.012354648507058</v>
      </c>
      <c r="F71" s="149">
        <f>(H20*NPV('Economic parameters'!C40,SUM(E48:AF48))*(-1)+(-1)*(SUM(E32:AF32)*H20))/NPV('Economic parameters'!C44,H16:AF16)</f>
        <v>3.2507736272719949</v>
      </c>
      <c r="G71" s="149">
        <f>(H20*NPV('Economic parameters'!C40,SUM(E48:AK48))*(-1)+(-1)*(SUM(E32:AK32)*H20))/NPV('Economic parameters'!C44,H16:AK16)</f>
        <v>2.7351241822197347</v>
      </c>
      <c r="H71" s="149">
        <f>(H20*NPV('Economic parameters'!C40,SUM(E48:AU48))*(-1)+(-1)*(SUM(E32:AU32)*H20))/NPV('Economic parameters'!C44,H16:AU16)</f>
        <v>2.0779354337452398</v>
      </c>
      <c r="I71" s="150">
        <f>(H20*NPV('Economic parameters'!C40,SUM(E48:BE48))*(-1)+(-1)*(SUM(E32:BE32)*H20))/NPV('Economic parameters'!C44,H16:BE16)</f>
        <v>1.6748737546222101</v>
      </c>
    </row>
    <row r="74" spans="3:11">
      <c r="D74" s="2" t="s">
        <v>292</v>
      </c>
      <c r="E74" s="174">
        <f>IF(E61&gt;0,IRR(E55:AA55),"n/a")</f>
        <v>5.1552157558052203E-2</v>
      </c>
      <c r="F74" s="175">
        <f>IF(F61&gt;0,IRR(E55:AF55),"n/a")</f>
        <v>6.119863261456393E-2</v>
      </c>
      <c r="G74" s="175">
        <f>IF(G61&gt;0,IRR(E55:AK55),"n/a")</f>
        <v>6.4949465456288547E-2</v>
      </c>
      <c r="H74" s="175">
        <f>IF(H61&gt;0,IRR(E55:AU55),"n/a")</f>
        <v>6.7788181657736812E-2</v>
      </c>
      <c r="I74" s="175">
        <f>IF(I61&gt;0,IRR(E55:BE55),"n/a")</f>
        <v>6.8575648636578057E-2</v>
      </c>
    </row>
    <row r="75" spans="3:11">
      <c r="D75" s="157" t="s">
        <v>290</v>
      </c>
      <c r="E75" s="176">
        <f>E61/((-1)*NPV('Economic parameters'!C40,'Cash-Flow Model GeoVision'!E52:AA52))</f>
        <v>0.71503786212206077</v>
      </c>
      <c r="F75" s="20"/>
      <c r="G75" s="176">
        <f>G61/((-1)*NPV('Economic parameters'!C40,'Cash-Flow Model GeoVision'!E52:AK52))</f>
        <v>1.303416392966646</v>
      </c>
      <c r="H75" s="20"/>
      <c r="I75" s="20"/>
    </row>
  </sheetData>
  <sheetProtection algorithmName="SHA-512" hashValue="vVOX8u47XjFEPmANAv5ZFx0Ob9boIlTgBV47r2Yqqhl2vAw6l5n0BS8VUnNj44FhvAi37VfI/I9IJv3/JTOh5Q==" saltValue="LCkxEHTJv8/y7XCFpTeHnw==" spinCount="100000" sheet="1" objects="1" scenarios="1" selectLockedCells="1"/>
  <mergeCells count="12">
    <mergeCell ref="C43:D43"/>
    <mergeCell ref="C70:C71"/>
    <mergeCell ref="C8:C13"/>
    <mergeCell ref="C15:C16"/>
    <mergeCell ref="C23:C29"/>
    <mergeCell ref="C31:C36"/>
    <mergeCell ref="C38:D38"/>
    <mergeCell ref="C46:D46"/>
    <mergeCell ref="C48:C52"/>
    <mergeCell ref="C54:C57"/>
    <mergeCell ref="C61:C62"/>
    <mergeCell ref="C66:C67"/>
  </mergeCell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F05038FFF496B4BAEC4BA80ACC8FB85" ma:contentTypeVersion="14" ma:contentTypeDescription="Ein neues Dokument erstellen." ma:contentTypeScope="" ma:versionID="ea3cd561d1fe40584330526cb77062e2">
  <xsd:schema xmlns:xsd="http://www.w3.org/2001/XMLSchema" xmlns:xs="http://www.w3.org/2001/XMLSchema" xmlns:p="http://schemas.microsoft.com/office/2006/metadata/properties" xmlns:ns2="be5f8195-3b28-405c-a93a-4d7901e112ea" xmlns:ns3="d75fa2cd-4110-41a5-8bba-1b9c2ea51496" targetNamespace="http://schemas.microsoft.com/office/2006/metadata/properties" ma:root="true" ma:fieldsID="64ff51fbafef9f5c04dd139aebcb6bf1" ns2:_="" ns3:_="">
    <xsd:import namespace="be5f8195-3b28-405c-a93a-4d7901e112ea"/>
    <xsd:import namespace="d75fa2cd-4110-41a5-8bba-1b9c2ea5149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5f8195-3b28-405c-a93a-4d7901e112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ierungen" ma:readOnly="false" ma:fieldId="{5cf76f15-5ced-4ddc-b409-7134ff3c332f}" ma:taxonomyMulti="true" ma:sspId="e4333a8b-db6e-442c-afdb-386b5bcb0b5f"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5fa2cd-4110-41a5-8bba-1b9c2ea5149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5d881e2-e025-44b1-b08e-17f17aee799d}" ma:internalName="TaxCatchAll" ma:showField="CatchAllData" ma:web="d75fa2cd-4110-41a5-8bba-1b9c2ea5149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CEC21B-83A0-4121-83F1-31C8F76BE702}"/>
</file>

<file path=customXml/itemProps2.xml><?xml version="1.0" encoding="utf-8"?>
<ds:datastoreItem xmlns:ds="http://schemas.openxmlformats.org/officeDocument/2006/customXml" ds:itemID="{1136D0D2-F9A2-422E-8408-04D808C7C64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Cover</vt:lpstr>
      <vt:lpstr>Instructions</vt:lpstr>
      <vt:lpstr>Summary CH</vt:lpstr>
      <vt:lpstr>Technical parameters TEMP</vt:lpstr>
      <vt:lpstr>Technical parameters PROD</vt:lpstr>
      <vt:lpstr>Economic parameters</vt:lpstr>
      <vt:lpstr>Cash-Flow Model</vt:lpstr>
      <vt:lpstr>Summary GeoVision world</vt:lpstr>
      <vt:lpstr>Cash-Flow Model GeoVision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Gunter Siddiqi</dc:creator>
  <cp:lastModifiedBy>GB</cp:lastModifiedBy>
  <dcterms:created xsi:type="dcterms:W3CDTF">2022-08-25T09:12:51Z</dcterms:created>
  <dcterms:modified xsi:type="dcterms:W3CDTF">2023-08-21T07:12:26Z</dcterms:modified>
</cp:coreProperties>
</file>