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K:\AB\07_Realisation\2_Realisation\RD\313_719_IEA-SCH_Task52\02-Work\04-WP\02-Task\B1\Delivrable\Annexes\"/>
    </mc:Choice>
  </mc:AlternateContent>
  <xr:revisionPtr revIDLastSave="0" documentId="13_ncr:1_{8325D15F-B90B-4225-8A42-8E414CEDF512}" xr6:coauthVersionLast="33" xr6:coauthVersionMax="33" xr10:uidLastSave="{00000000-0000-0000-0000-000000000000}"/>
  <bookViews>
    <workbookView xWindow="0" yWindow="0" windowWidth="23040" windowHeight="9405" xr2:uid="{00000000-000D-0000-FFFF-FFFF00000000}"/>
  </bookViews>
  <sheets>
    <sheet name="Authors" sheetId="10" r:id="rId1"/>
    <sheet name="Pre-evaluation" sheetId="1" r:id="rId2"/>
    <sheet name="Parameter" sheetId="3" r:id="rId3"/>
    <sheet name="STC Benchmark" sheetId="2" r:id="rId4"/>
    <sheet name="SFH - Thermal needs" sheetId="4" r:id="rId5"/>
    <sheet name="MFH - Thermal needs" sheetId="7" r:id="rId6"/>
    <sheet name="BA - Thermal needs" sheetId="8" r:id="rId7"/>
    <sheet name="Plot" sheetId="9" r:id="rId8"/>
  </sheets>
  <definedNames>
    <definedName name="Oil">Parameter!$A$95:$A$98</definedName>
    <definedName name="Size_index_Pict" comment="Link the size of the solar field with the picture">INDEX(Parameter!$B$32:$B$36,'Pre-evaluation'!$C$20)</definedName>
    <definedName name="test" localSheetId="6">INDEX('Pre-evaluation'!#REF!,'Pre-evaluation'!#REF!)</definedName>
    <definedName name="test" localSheetId="5">INDEX('Pre-evaluation'!#REF!,'Pre-evaluation'!#REF!)</definedName>
    <definedName name="test">INDEX('Pre-evaluation'!#REF!,'Pre-evaluation'!#REF!)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" i="3" l="1"/>
  <c r="N89" i="3"/>
  <c r="O88" i="3"/>
  <c r="N87" i="3"/>
  <c r="N86" i="3"/>
  <c r="N85" i="3"/>
  <c r="N84" i="3"/>
  <c r="M81" i="3"/>
  <c r="K81" i="3"/>
  <c r="L81" i="3"/>
  <c r="J81" i="3"/>
  <c r="G36" i="1"/>
  <c r="N82" i="3" l="1"/>
  <c r="O82" i="3"/>
  <c r="C50" i="3"/>
  <c r="B3" i="3"/>
  <c r="C9" i="1" s="1"/>
  <c r="C95" i="3"/>
  <c r="P10" i="8" l="1"/>
  <c r="O10" i="8"/>
  <c r="N10" i="8"/>
  <c r="P10" i="7"/>
  <c r="O10" i="7"/>
  <c r="N10" i="7"/>
  <c r="P10" i="4"/>
  <c r="O10" i="4"/>
  <c r="N10" i="4"/>
  <c r="M10" i="8" l="1"/>
  <c r="H10" i="8"/>
  <c r="G10" i="8"/>
  <c r="F10" i="8"/>
  <c r="E10" i="8"/>
  <c r="D10" i="8"/>
  <c r="L10" i="8"/>
  <c r="K10" i="8"/>
  <c r="J10" i="8"/>
  <c r="I10" i="8"/>
  <c r="M10" i="7"/>
  <c r="L10" i="7"/>
  <c r="K10" i="7"/>
  <c r="J10" i="7"/>
  <c r="I10" i="7"/>
  <c r="H10" i="7"/>
  <c r="G10" i="7"/>
  <c r="F10" i="7"/>
  <c r="E10" i="7"/>
  <c r="D10" i="7"/>
  <c r="M10" i="4"/>
  <c r="L10" i="4"/>
  <c r="K10" i="4"/>
  <c r="J10" i="4"/>
  <c r="I10" i="4"/>
  <c r="H10" i="4"/>
  <c r="G10" i="4"/>
  <c r="F10" i="4"/>
  <c r="E10" i="4"/>
  <c r="D10" i="4"/>
  <c r="C4" i="8" l="1"/>
  <c r="C5" i="8"/>
  <c r="C6" i="8"/>
  <c r="C7" i="8"/>
  <c r="C8" i="8"/>
  <c r="C9" i="8"/>
  <c r="C10" i="8"/>
  <c r="C3" i="8"/>
  <c r="C4" i="7"/>
  <c r="C5" i="7"/>
  <c r="C6" i="7"/>
  <c r="C7" i="7"/>
  <c r="C8" i="7"/>
  <c r="C9" i="7"/>
  <c r="C10" i="7"/>
  <c r="C3" i="7"/>
  <c r="B5" i="3"/>
  <c r="E9" i="1" s="1"/>
  <c r="B9" i="3"/>
  <c r="C22" i="3"/>
  <c r="C23" i="3" s="1"/>
  <c r="H81" i="3" s="1"/>
  <c r="C26" i="3"/>
  <c r="C25" i="3"/>
  <c r="C27" i="3"/>
  <c r="C28" i="3"/>
  <c r="C24" i="3"/>
  <c r="C15" i="3" l="1"/>
  <c r="D17" i="3"/>
  <c r="D15" i="3"/>
  <c r="C14" i="3"/>
  <c r="C11" i="3"/>
  <c r="C12" i="3"/>
  <c r="C13" i="3"/>
  <c r="C17" i="3"/>
  <c r="C16" i="3"/>
  <c r="C96" i="3"/>
  <c r="C97" i="3"/>
  <c r="C98" i="3"/>
  <c r="E90" i="3"/>
  <c r="C89" i="3"/>
  <c r="E88" i="3"/>
  <c r="C87" i="3"/>
  <c r="C86" i="3"/>
  <c r="C85" i="3"/>
  <c r="C84" i="3"/>
  <c r="D9" i="3" l="1"/>
  <c r="C16" i="1" s="1"/>
  <c r="C82" i="3"/>
  <c r="J82" i="3" s="1"/>
  <c r="E82" i="3"/>
  <c r="L82" i="3" s="1"/>
  <c r="C9" i="3"/>
  <c r="C14" i="1" s="1"/>
  <c r="B4" i="3"/>
  <c r="D9" i="1" s="1"/>
  <c r="D82" i="3" l="1"/>
  <c r="K82" i="3" s="1"/>
  <c r="I36" i="1" s="1"/>
  <c r="F82" i="3"/>
  <c r="M82" i="3" s="1"/>
  <c r="D98" i="3"/>
  <c r="D97" i="3"/>
  <c r="D94" i="3" s="1"/>
  <c r="J36" i="1" s="1"/>
  <c r="D96" i="3"/>
  <c r="D95" i="3"/>
  <c r="C3" i="4"/>
  <c r="A45" i="3"/>
  <c r="C46" i="3"/>
  <c r="D46" i="3"/>
  <c r="C48" i="3"/>
  <c r="D48" i="3"/>
  <c r="C47" i="3"/>
  <c r="D47" i="3"/>
  <c r="C49" i="3"/>
  <c r="D49" i="3"/>
  <c r="D50" i="3"/>
  <c r="C4" i="4" l="1"/>
  <c r="B2" i="8"/>
  <c r="B45" i="3"/>
  <c r="E10" i="1" l="1"/>
  <c r="E11" i="1" s="1"/>
  <c r="C5" i="4"/>
  <c r="B2" i="7"/>
  <c r="D10" i="1" s="1"/>
  <c r="D11" i="1" s="1"/>
  <c r="D45" i="3"/>
  <c r="C45" i="3"/>
  <c r="C6" i="4" l="1"/>
  <c r="B64" i="3"/>
  <c r="C25" i="1" s="1"/>
  <c r="D36" i="1" s="1"/>
  <c r="C66" i="3" l="1"/>
  <c r="C7" i="4"/>
  <c r="C67" i="3"/>
  <c r="C68" i="3"/>
  <c r="C70" i="3"/>
  <c r="C69" i="3"/>
  <c r="C26" i="1" l="1"/>
  <c r="E36" i="1" s="1"/>
  <c r="C8" i="4"/>
  <c r="B36" i="1"/>
  <c r="C10" i="4" l="1"/>
  <c r="B2" i="4" s="1"/>
  <c r="C10" i="1" s="1"/>
  <c r="C9" i="4"/>
  <c r="C11" i="1" l="1"/>
  <c r="C12" i="1" s="1"/>
  <c r="C15" i="1" s="1"/>
  <c r="C13" i="1" l="1"/>
  <c r="C21" i="1"/>
  <c r="F36" i="1" s="1"/>
  <c r="G38" i="1" l="1"/>
  <c r="I39" i="1"/>
  <c r="E38" i="1"/>
  <c r="G39" i="1"/>
  <c r="D25" i="1"/>
  <c r="D39" i="1" s="1"/>
  <c r="B38" i="1"/>
  <c r="I38" i="1"/>
  <c r="H38" i="1"/>
  <c r="H39" i="1"/>
  <c r="D38" i="1"/>
  <c r="D26" i="1"/>
  <c r="E39" i="1" s="1"/>
  <c r="H36" i="1"/>
</calcChain>
</file>

<file path=xl/sharedStrings.xml><?xml version="1.0" encoding="utf-8"?>
<sst xmlns="http://schemas.openxmlformats.org/spreadsheetml/2006/main" count="358" uniqueCount="178">
  <si>
    <t>Projet</t>
  </si>
  <si>
    <t>Size of the field [m2]</t>
  </si>
  <si>
    <t>Peak capacity [kW]</t>
  </si>
  <si>
    <t>Prodution [kWh/a]</t>
  </si>
  <si>
    <t>Specific storage [lt/m2]</t>
  </si>
  <si>
    <t>Solair yield [kWh/m2/a]</t>
  </si>
  <si>
    <t>Solar fraction [%]</t>
  </si>
  <si>
    <t>Cost (all) [1000€/m2]</t>
  </si>
  <si>
    <t>Cost (material) [1000€/m2]</t>
  </si>
  <si>
    <t>Levelized cost of heat [ct/kWh]</t>
  </si>
  <si>
    <t>DHW-SFH</t>
  </si>
  <si>
    <t>MIN</t>
  </si>
  <si>
    <t>MAX</t>
  </si>
  <si>
    <t>CS-SFH</t>
  </si>
  <si>
    <t>CS-MFH</t>
  </si>
  <si>
    <t>SBH - Diurnal</t>
  </si>
  <si>
    <t>SBH - Seasonal</t>
  </si>
  <si>
    <t>SDH - Diurnal</t>
  </si>
  <si>
    <t>SDH - Seasonal</t>
  </si>
  <si>
    <t>Source : Technology and demonstrator - Task 52, STC - Part C1 - F.Mauthner 2016</t>
  </si>
  <si>
    <t>Storage [m3]</t>
  </si>
  <si>
    <t>Single family house</t>
  </si>
  <si>
    <t>Solar yield [kWh/m2/a]</t>
  </si>
  <si>
    <t>Solar domestic hot water</t>
  </si>
  <si>
    <t>Solar-combi systems in single family homes</t>
  </si>
  <si>
    <t>Solar-combi systems in multi-family homes</t>
  </si>
  <si>
    <t>Solar block heating</t>
  </si>
  <si>
    <t>Solar district heating</t>
  </si>
  <si>
    <t>Size index [-]</t>
  </si>
  <si>
    <t>Size of the field modified [m2]</t>
  </si>
  <si>
    <t>Collector total surface [m2]</t>
  </si>
  <si>
    <t>Tools for dimension</t>
  </si>
  <si>
    <t>Large scale</t>
  </si>
  <si>
    <t>Storage</t>
  </si>
  <si>
    <t>Type</t>
  </si>
  <si>
    <t>Picture</t>
  </si>
  <si>
    <t>"f-easy" or "Sunstore-4"</t>
  </si>
  <si>
    <t>Heat district</t>
  </si>
  <si>
    <t>Family type</t>
  </si>
  <si>
    <t xml:space="preserve">Switzerland </t>
  </si>
  <si>
    <t>Sweden</t>
  </si>
  <si>
    <t>Finland</t>
  </si>
  <si>
    <t>Island</t>
  </si>
  <si>
    <t>France</t>
  </si>
  <si>
    <t>Austria</t>
  </si>
  <si>
    <t>Average heat density [kWh/m/an] : Source Jérome Faessler, 2013</t>
  </si>
  <si>
    <t>Maybe yes</t>
  </si>
  <si>
    <t>Solar target</t>
  </si>
  <si>
    <t>Surface available for solar installation too low to reach targeted solar fraction</t>
  </si>
  <si>
    <t>Solar fraction can be reach if the storage is sufficient</t>
  </si>
  <si>
    <t>Country</t>
  </si>
  <si>
    <t>Input</t>
  </si>
  <si>
    <t>Output</t>
  </si>
  <si>
    <t>Germany</t>
  </si>
  <si>
    <t>Facteur</t>
  </si>
  <si>
    <t>Fraction of national density [kWh/m/a]</t>
  </si>
  <si>
    <t>The heat density is favorable to the implementation of a distric heating</t>
  </si>
  <si>
    <t>The heat density may be to low for a distric heating</t>
  </si>
  <si>
    <t>Domestic hot water [kWh/m2]</t>
  </si>
  <si>
    <t>National Mean density [kWh/m/a]</t>
  </si>
  <si>
    <t>type 1</t>
  </si>
  <si>
    <t>type 2</t>
  </si>
  <si>
    <t>type 3</t>
  </si>
  <si>
    <t>type 4</t>
  </si>
  <si>
    <t>type 5</t>
  </si>
  <si>
    <t>[litre/m2]</t>
  </si>
  <si>
    <t>[€/m3]</t>
  </si>
  <si>
    <t>[liter]</t>
  </si>
  <si>
    <t>[€]</t>
  </si>
  <si>
    <t>Domestic hot water tank</t>
  </si>
  <si>
    <t>Pressurized carbon steel tank</t>
  </si>
  <si>
    <t>Non-pressurized tanks</t>
  </si>
  <si>
    <t>Specific solar thermal system cost</t>
  </si>
  <si>
    <t>Solar block heating - diurnal</t>
  </si>
  <si>
    <t>Solar block heating - seasonal</t>
  </si>
  <si>
    <t>Solar district heating - diurnal</t>
  </si>
  <si>
    <t>Solar district heating - seasonal</t>
  </si>
  <si>
    <t>Size index - 1 to 5</t>
  </si>
  <si>
    <t>Energy Cost</t>
  </si>
  <si>
    <t>14-18 €-ct/kWh</t>
  </si>
  <si>
    <t>14-17 €-ct/kWh</t>
  </si>
  <si>
    <t>9-13 €-ct/kWh</t>
  </si>
  <si>
    <t>7-11 €-ct/kWh</t>
  </si>
  <si>
    <t>11-17 €-ct/kWh</t>
  </si>
  <si>
    <t>4-5 €-ct/kWh</t>
  </si>
  <si>
    <t>5-6 €-ct/kWh</t>
  </si>
  <si>
    <t>Energy cost - Diurnal</t>
  </si>
  <si>
    <t>Seasonal [€-ct/kWh]</t>
  </si>
  <si>
    <t>Building need - Domestic hot water [kWh/year]</t>
  </si>
  <si>
    <t>Building need - Space heating [kWh/year]</t>
  </si>
  <si>
    <t>Additionnal energy</t>
  </si>
  <si>
    <t>Gaz</t>
  </si>
  <si>
    <t>Oil</t>
  </si>
  <si>
    <t>Coke</t>
  </si>
  <si>
    <t>Lignite</t>
  </si>
  <si>
    <t>[t-CO2/TJ]</t>
  </si>
  <si>
    <t>[t-CO2/kWh]</t>
  </si>
  <si>
    <t>Additionnal production source</t>
  </si>
  <si>
    <t>Saved [t-CO2]</t>
  </si>
  <si>
    <t>Renewable fraction of the heat network [%]</t>
  </si>
  <si>
    <t>.</t>
  </si>
  <si>
    <t>Erreur</t>
  </si>
  <si>
    <t>G 0,incl</t>
  </si>
  <si>
    <r>
      <t xml:space="preserve">global solar irradiation values onto optimally inclined collector surface </t>
    </r>
    <r>
      <rPr>
        <b/>
        <i/>
        <sz val="11"/>
        <color theme="1"/>
        <rFont val="Calibri"/>
        <family val="2"/>
        <scheme val="minor"/>
      </rPr>
      <t>G</t>
    </r>
    <r>
      <rPr>
        <b/>
        <i/>
        <vertAlign val="subscript"/>
        <sz val="11"/>
        <color theme="1"/>
        <rFont val="Calibri"/>
        <family val="2"/>
        <scheme val="minor"/>
      </rPr>
      <t>0,incl</t>
    </r>
    <r>
      <rPr>
        <b/>
        <vertAlign val="subscript"/>
        <sz val="11"/>
        <color theme="1"/>
        <rFont val="Calibri"/>
        <family val="2"/>
        <scheme val="minor"/>
      </rPr>
      <t xml:space="preserve"> [kWh/(m2.a)</t>
    </r>
  </si>
  <si>
    <t>Switzerland - Zurich</t>
  </si>
  <si>
    <t>Austria - Wien</t>
  </si>
  <si>
    <t>Sweden - Gothenburg</t>
  </si>
  <si>
    <t>http://re.jrc.ec.europa.eu/pvgis/cmaps/eur.htm#CH</t>
  </si>
  <si>
    <t>France - Paris</t>
  </si>
  <si>
    <t>Germany - Berlin</t>
  </si>
  <si>
    <t>non- corrected</t>
  </si>
  <si>
    <t>Switzerland</t>
  </si>
  <si>
    <t>Danmark</t>
  </si>
  <si>
    <t>Italy</t>
  </si>
  <si>
    <t>Spain</t>
  </si>
  <si>
    <t>Needs - Single Family house [kWh/(m2.a)]</t>
  </si>
  <si>
    <t>Multi Family house</t>
  </si>
  <si>
    <t>Apartment Block</t>
  </si>
  <si>
    <t>Heated floor area [m2]</t>
  </si>
  <si>
    <t>Construction period</t>
  </si>
  <si>
    <t>…-1900</t>
  </si>
  <si>
    <t>1900-1910</t>
  </si>
  <si>
    <t>1910-1920</t>
  </si>
  <si>
    <t>1920-1930</t>
  </si>
  <si>
    <t>1940-1950</t>
  </si>
  <si>
    <t>1950-1960</t>
  </si>
  <si>
    <t>1960-1970</t>
  </si>
  <si>
    <t>1970-1980</t>
  </si>
  <si>
    <t>1980-1990</t>
  </si>
  <si>
    <t>1990-2000</t>
  </si>
  <si>
    <t>Needs - Multi Family house [kWh/(m2.a)]</t>
  </si>
  <si>
    <t>Needs - Block apartment [kWh/(m2.a)]</t>
  </si>
  <si>
    <t>Buildings total need [kWh/year]</t>
  </si>
  <si>
    <t>Building total need per type [kWh/year]</t>
  </si>
  <si>
    <t>Building type</t>
  </si>
  <si>
    <t>Refurbishment - Space heating gain [%]</t>
  </si>
  <si>
    <t>DHW - Needs from SIA</t>
  </si>
  <si>
    <t>http://webtool.building-typology.eu</t>
  </si>
  <si>
    <t>Calulation</t>
  </si>
  <si>
    <t>interpolation</t>
  </si>
  <si>
    <t>2000-2010</t>
  </si>
  <si>
    <t>2010-…</t>
  </si>
  <si>
    <t>1930-1940</t>
  </si>
  <si>
    <t>terraced house</t>
  </si>
  <si>
    <t>calculation</t>
  </si>
  <si>
    <t>extrapolation</t>
  </si>
  <si>
    <t>Extrapolated from MFH</t>
  </si>
  <si>
    <t>publi - Groupe d'action combustibles Stratégie du groupe d'action objectifs sectoriels organisation</t>
  </si>
  <si>
    <t>sia - Ath/AE =1.5</t>
  </si>
  <si>
    <t xml:space="preserve">Seasonal - Diurnal thershold. </t>
  </si>
  <si>
    <t>G0,incl [kWh/(m2.a)]</t>
  </si>
  <si>
    <t xml:space="preserve">Saved CO2 emission </t>
  </si>
  <si>
    <t>Pipe lentgh of the district heating derived from the nationnal mean heat density [m]</t>
  </si>
  <si>
    <t>Diurnal</t>
  </si>
  <si>
    <t>Storage - Diurnal</t>
  </si>
  <si>
    <t>Storage - Seasonal</t>
  </si>
  <si>
    <t>BTES - Borehole</t>
  </si>
  <si>
    <t>PTES - Pit</t>
  </si>
  <si>
    <t>Seasonal (PTES)</t>
  </si>
  <si>
    <t>Corrected with G 0, incl - Diurnal</t>
  </si>
  <si>
    <t>Corrected with G 0, incl - Seasonal</t>
  </si>
  <si>
    <t>Max solar fraction - Diurnal storage [%]</t>
  </si>
  <si>
    <t>Max solar production - Diurnal storage [kWh/year]</t>
  </si>
  <si>
    <t>Max solar fraction - Seasonal storage  [%]</t>
  </si>
  <si>
    <t>Max solar production - Seasonal storage  [kWh/year]</t>
  </si>
  <si>
    <t>Diurnal solar fraction</t>
  </si>
  <si>
    <t>Correction G0,var/G0</t>
  </si>
  <si>
    <t>-&gt;</t>
  </si>
  <si>
    <t>Diurnal [€-ct/kWh]</t>
  </si>
  <si>
    <t>Diurnal [€/year]</t>
  </si>
  <si>
    <t>Seasonal [€/year]</t>
  </si>
  <si>
    <t>Diurnal storage volume</t>
  </si>
  <si>
    <t>Diurnal storage cost</t>
  </si>
  <si>
    <t>Error diurnal</t>
  </si>
  <si>
    <t>Error seasonal</t>
  </si>
  <si>
    <t xml:space="preserve">This tool was developped by Sorane SA in the frame of the IEA task 52. </t>
  </si>
  <si>
    <t xml:space="preserve">Its description is made in the technical report of the subtask B - Methodology Tools and Case studies for Urban Energy concepts </t>
  </si>
  <si>
    <t>IEA SHC Task 52, Subtask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</si>
</sst>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r_._-;\-* #,##0.00\ _f_r_._-;_-* &quot;-&quot;??\ _f_r_._-;_-@_-"/>
    <numFmt numFmtId="164" formatCode="0.0"/>
    <numFmt numFmtId="165" formatCode="_-* #,##0\ _f_r_._-;\-* #,##0\ _f_r_._-;_-* &quot;-&quot;??\ _f_r_.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left"/>
    </xf>
    <xf numFmtId="0" fontId="3" fillId="0" borderId="2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0" borderId="0" xfId="0" applyFont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43" fontId="0" fillId="0" borderId="0" xfId="2" applyFont="1"/>
    <xf numFmtId="164" fontId="0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8" xfId="2" applyNumberFormat="1" applyFont="1" applyFill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3" fillId="2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9" fontId="0" fillId="0" borderId="26" xfId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31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18" xfId="0" applyBorder="1"/>
    <xf numFmtId="0" fontId="3" fillId="0" borderId="1" xfId="0" applyFont="1" applyBorder="1"/>
    <xf numFmtId="0" fontId="8" fillId="0" borderId="0" xfId="3"/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0" fillId="5" borderId="0" xfId="0" applyFill="1"/>
    <xf numFmtId="164" fontId="0" fillId="5" borderId="0" xfId="0" applyNumberFormat="1" applyFill="1"/>
    <xf numFmtId="0" fontId="0" fillId="4" borderId="0" xfId="0" applyFill="1"/>
    <xf numFmtId="164" fontId="0" fillId="4" borderId="0" xfId="0" applyNumberFormat="1" applyFill="1"/>
    <xf numFmtId="166" fontId="0" fillId="0" borderId="2" xfId="1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0" fillId="0" borderId="9" xfId="0" applyFont="1" applyBorder="1"/>
    <xf numFmtId="0" fontId="0" fillId="0" borderId="6" xfId="0" applyFont="1" applyBorder="1"/>
    <xf numFmtId="0" fontId="0" fillId="0" borderId="11" xfId="0" applyFont="1" applyBorder="1"/>
    <xf numFmtId="0" fontId="0" fillId="0" borderId="14" xfId="0" applyBorder="1"/>
    <xf numFmtId="0" fontId="0" fillId="0" borderId="16" xfId="0" applyBorder="1"/>
    <xf numFmtId="0" fontId="0" fillId="0" borderId="11" xfId="0" applyBorder="1" applyAlignment="1">
      <alignment vertical="center"/>
    </xf>
    <xf numFmtId="0" fontId="3" fillId="0" borderId="16" xfId="0" applyFont="1" applyBorder="1"/>
    <xf numFmtId="0" fontId="0" fillId="0" borderId="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6" fontId="0" fillId="0" borderId="4" xfId="1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0" xfId="1" applyFont="1"/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9" fontId="3" fillId="0" borderId="47" xfId="0" applyNumberFormat="1" applyFont="1" applyBorder="1" applyAlignment="1">
      <alignment horizontal="center" vertical="center"/>
    </xf>
    <xf numFmtId="43" fontId="3" fillId="0" borderId="47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43" fontId="3" fillId="0" borderId="2" xfId="2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9" fontId="3" fillId="3" borderId="47" xfId="0" applyNumberFormat="1" applyFont="1" applyFill="1" applyBorder="1" applyAlignment="1">
      <alignment horizontal="center" vertical="center"/>
    </xf>
    <xf numFmtId="43" fontId="3" fillId="3" borderId="47" xfId="2" applyFont="1" applyFill="1" applyBorder="1" applyAlignment="1">
      <alignment horizontal="center" vertical="center" wrapText="1"/>
    </xf>
    <xf numFmtId="0" fontId="0" fillId="0" borderId="0" xfId="0" quotePrefix="1"/>
    <xf numFmtId="0" fontId="3" fillId="0" borderId="4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0" fillId="6" borderId="0" xfId="0" applyFill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43" fontId="3" fillId="0" borderId="47" xfId="2" applyFont="1" applyBorder="1" applyAlignment="1">
      <alignment horizontal="center" vertical="center" wrapText="1"/>
    </xf>
    <xf numFmtId="43" fontId="3" fillId="0" borderId="48" xfId="2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9" fillId="7" borderId="0" xfId="0" applyFont="1" applyFill="1"/>
  </cellXfs>
  <cellStyles count="4">
    <cellStyle name="Lien hypertexte" xfId="3" builtinId="8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'STC Benchmark'!$B$1:$O$2</c:f>
              <c:multiLvlStrCache>
                <c:ptCount val="14"/>
                <c:lvl>
                  <c:pt idx="0">
                    <c:v>MIN</c:v>
                  </c:pt>
                  <c:pt idx="1">
                    <c:v>MAX</c:v>
                  </c:pt>
                  <c:pt idx="2">
                    <c:v>MIN</c:v>
                  </c:pt>
                  <c:pt idx="3">
                    <c:v>MAX</c:v>
                  </c:pt>
                  <c:pt idx="4">
                    <c:v>MIN</c:v>
                  </c:pt>
                  <c:pt idx="5">
                    <c:v>MAX</c:v>
                  </c:pt>
                  <c:pt idx="6">
                    <c:v>MIN</c:v>
                  </c:pt>
                  <c:pt idx="7">
                    <c:v>MAX</c:v>
                  </c:pt>
                  <c:pt idx="8">
                    <c:v>MIN</c:v>
                  </c:pt>
                  <c:pt idx="9">
                    <c:v>MAX</c:v>
                  </c:pt>
                  <c:pt idx="10">
                    <c:v>MIN</c:v>
                  </c:pt>
                  <c:pt idx="11">
                    <c:v>MAX</c:v>
                  </c:pt>
                  <c:pt idx="12">
                    <c:v>MIN</c:v>
                  </c:pt>
                  <c:pt idx="13">
                    <c:v>MAX</c:v>
                  </c:pt>
                </c:lvl>
                <c:lvl>
                  <c:pt idx="0">
                    <c:v>DHW-SFH</c:v>
                  </c:pt>
                  <c:pt idx="2">
                    <c:v>CS-SFH</c:v>
                  </c:pt>
                  <c:pt idx="4">
                    <c:v>CS-MFH</c:v>
                  </c:pt>
                  <c:pt idx="6">
                    <c:v>SBH - Diurnal</c:v>
                  </c:pt>
                  <c:pt idx="8">
                    <c:v>SBH - Seasonal</c:v>
                  </c:pt>
                  <c:pt idx="10">
                    <c:v>SDH - Diurnal</c:v>
                  </c:pt>
                  <c:pt idx="12">
                    <c:v>SDH - Seasonal</c:v>
                  </c:pt>
                </c:lvl>
              </c:multiLvlStrCache>
            </c:multiLvlStrRef>
          </c:cat>
          <c:val>
            <c:numRef>
              <c:f>'STC Benchmark'!$B$7:$O$7</c:f>
              <c:numCache>
                <c:formatCode>General</c:formatCode>
                <c:ptCount val="14"/>
                <c:pt idx="0">
                  <c:v>400</c:v>
                </c:pt>
                <c:pt idx="1">
                  <c:v>400</c:v>
                </c:pt>
                <c:pt idx="2">
                  <c:v>1500</c:v>
                </c:pt>
                <c:pt idx="3">
                  <c:v>1500</c:v>
                </c:pt>
                <c:pt idx="4">
                  <c:v>9000</c:v>
                </c:pt>
                <c:pt idx="5">
                  <c:v>9000</c:v>
                </c:pt>
                <c:pt idx="6">
                  <c:v>100</c:v>
                </c:pt>
                <c:pt idx="7">
                  <c:v>100</c:v>
                </c:pt>
                <c:pt idx="8">
                  <c:v>12000</c:v>
                </c:pt>
                <c:pt idx="9">
                  <c:v>12000</c:v>
                </c:pt>
                <c:pt idx="10">
                  <c:v>1200</c:v>
                </c:pt>
                <c:pt idx="11">
                  <c:v>1200</c:v>
                </c:pt>
                <c:pt idx="12">
                  <c:v>125000</c:v>
                </c:pt>
                <c:pt idx="1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3-4949-ACE3-78551A8F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739024"/>
        <c:axId val="260740984"/>
      </c:barChart>
      <c:catAx>
        <c:axId val="26073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40984"/>
        <c:crosses val="autoZero"/>
        <c:auto val="1"/>
        <c:lblAlgn val="ctr"/>
        <c:lblOffset val="100"/>
        <c:noMultiLvlLbl val="0"/>
      </c:catAx>
      <c:valAx>
        <c:axId val="260740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3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needs'!$D$3:$P$3</c:f>
              <c:numCache>
                <c:formatCode>General</c:formatCode>
                <c:ptCount val="13"/>
                <c:pt idx="0">
                  <c:v>135.80000000000001</c:v>
                </c:pt>
                <c:pt idx="1">
                  <c:v>135.80000000000001</c:v>
                </c:pt>
                <c:pt idx="2">
                  <c:v>135.80000000000001</c:v>
                </c:pt>
                <c:pt idx="3">
                  <c:v>147.30000000000001</c:v>
                </c:pt>
                <c:pt idx="4">
                  <c:v>147.30000000000001</c:v>
                </c:pt>
                <c:pt idx="5">
                  <c:v>147.30000000000001</c:v>
                </c:pt>
                <c:pt idx="6">
                  <c:v>134.19999999999999</c:v>
                </c:pt>
                <c:pt idx="7">
                  <c:v>144.80000000000001</c:v>
                </c:pt>
                <c:pt idx="8">
                  <c:v>144.80000000000001</c:v>
                </c:pt>
                <c:pt idx="9">
                  <c:v>104.6</c:v>
                </c:pt>
                <c:pt idx="10">
                  <c:v>100.8</c:v>
                </c:pt>
                <c:pt idx="11">
                  <c:v>74.3</c:v>
                </c:pt>
                <c:pt idx="12">
                  <c:v>92.5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5D-4E81-B9B8-CD72DA0739C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needs'!$D$4:$P$4</c:f>
              <c:numCache>
                <c:formatCode>General</c:formatCode>
                <c:ptCount val="13"/>
                <c:pt idx="0">
                  <c:v>153.19999999999999</c:v>
                </c:pt>
                <c:pt idx="1">
                  <c:v>153.19999999999999</c:v>
                </c:pt>
                <c:pt idx="2">
                  <c:v>153.19999999999999</c:v>
                </c:pt>
                <c:pt idx="3">
                  <c:v>153.19999999999999</c:v>
                </c:pt>
                <c:pt idx="4">
                  <c:v>160.1</c:v>
                </c:pt>
                <c:pt idx="5">
                  <c:v>152.80000000000001</c:v>
                </c:pt>
                <c:pt idx="6">
                  <c:v>133</c:v>
                </c:pt>
                <c:pt idx="7">
                  <c:v>133</c:v>
                </c:pt>
                <c:pt idx="8">
                  <c:v>119.5</c:v>
                </c:pt>
                <c:pt idx="9">
                  <c:v>102.6</c:v>
                </c:pt>
                <c:pt idx="10">
                  <c:v>102.6</c:v>
                </c:pt>
                <c:pt idx="11">
                  <c:v>63.5</c:v>
                </c:pt>
                <c:pt idx="12">
                  <c:v>64.5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5D-4E81-B9B8-CD72DA0739C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needs'!$D$5:$P$5</c:f>
              <c:numCache>
                <c:formatCode>General</c:formatCode>
                <c:ptCount val="13"/>
                <c:pt idx="0">
                  <c:v>115.7</c:v>
                </c:pt>
                <c:pt idx="1">
                  <c:v>115.7</c:v>
                </c:pt>
                <c:pt idx="2">
                  <c:v>115.7</c:v>
                </c:pt>
                <c:pt idx="3">
                  <c:v>105.5</c:v>
                </c:pt>
                <c:pt idx="4">
                  <c:v>105.5</c:v>
                </c:pt>
                <c:pt idx="5">
                  <c:v>105.5</c:v>
                </c:pt>
                <c:pt idx="6">
                  <c:v>119.3</c:v>
                </c:pt>
                <c:pt idx="7">
                  <c:v>119.3</c:v>
                </c:pt>
                <c:pt idx="8">
                  <c:v>127.6</c:v>
                </c:pt>
                <c:pt idx="9">
                  <c:v>70.900000000000006</c:v>
                </c:pt>
                <c:pt idx="10">
                  <c:v>82.4</c:v>
                </c:pt>
                <c:pt idx="11">
                  <c:v>67.2</c:v>
                </c:pt>
                <c:pt idx="12">
                  <c:v>51.7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5D-4E81-B9B8-CD72DA0739CE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needs'!$D$6:$P$6</c:f>
              <c:numCache>
                <c:formatCode>General</c:formatCode>
                <c:ptCount val="13"/>
                <c:pt idx="0">
                  <c:v>161.9</c:v>
                </c:pt>
                <c:pt idx="1">
                  <c:v>161.9</c:v>
                </c:pt>
                <c:pt idx="2">
                  <c:v>161.9</c:v>
                </c:pt>
                <c:pt idx="3">
                  <c:v>145.6</c:v>
                </c:pt>
                <c:pt idx="4">
                  <c:v>145.6</c:v>
                </c:pt>
                <c:pt idx="5">
                  <c:v>145.6</c:v>
                </c:pt>
                <c:pt idx="6">
                  <c:v>162.69999999999999</c:v>
                </c:pt>
                <c:pt idx="7">
                  <c:v>160.80000000000001</c:v>
                </c:pt>
                <c:pt idx="8">
                  <c:v>136</c:v>
                </c:pt>
                <c:pt idx="9">
                  <c:v>117.4</c:v>
                </c:pt>
                <c:pt idx="10">
                  <c:v>106.9</c:v>
                </c:pt>
                <c:pt idx="11">
                  <c:v>75.8</c:v>
                </c:pt>
                <c:pt idx="12">
                  <c:v>82.7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5D-4E81-B9B8-CD72DA0739CE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needs'!$D$7:$P$7</c:f>
              <c:numCache>
                <c:formatCode>General</c:formatCode>
                <c:ptCount val="13"/>
                <c:pt idx="0">
                  <c:v>139.80000000000001</c:v>
                </c:pt>
                <c:pt idx="1">
                  <c:v>144.4</c:v>
                </c:pt>
                <c:pt idx="2">
                  <c:v>144.4</c:v>
                </c:pt>
                <c:pt idx="3">
                  <c:v>142.30000000000001</c:v>
                </c:pt>
                <c:pt idx="4">
                  <c:v>142.30000000000001</c:v>
                </c:pt>
                <c:pt idx="5">
                  <c:v>142.30000000000001</c:v>
                </c:pt>
                <c:pt idx="6">
                  <c:v>135.4</c:v>
                </c:pt>
                <c:pt idx="7">
                  <c:v>141.30000000000001</c:v>
                </c:pt>
                <c:pt idx="8">
                  <c:v>141.30000000000001</c:v>
                </c:pt>
                <c:pt idx="9">
                  <c:v>97.1</c:v>
                </c:pt>
                <c:pt idx="10">
                  <c:v>81.5</c:v>
                </c:pt>
                <c:pt idx="11">
                  <c:v>81.5</c:v>
                </c:pt>
                <c:pt idx="12">
                  <c:v>66.400000000000006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F5D-4E81-B9B8-CD72DA0739CE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needs'!$D$8:$P$8</c:f>
              <c:numCache>
                <c:formatCode>General</c:formatCode>
                <c:ptCount val="13"/>
                <c:pt idx="0">
                  <c:v>17.2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8.1</c:v>
                </c:pt>
                <c:pt idx="6">
                  <c:v>8.1</c:v>
                </c:pt>
                <c:pt idx="7">
                  <c:v>12.4</c:v>
                </c:pt>
                <c:pt idx="8">
                  <c:v>12.4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5D-4E81-B9B8-CD72DA0739CE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needs'!$D$9:$P$9</c:f>
              <c:numCache>
                <c:formatCode>General</c:formatCode>
                <c:ptCount val="13"/>
                <c:pt idx="0">
                  <c:v>198.6</c:v>
                </c:pt>
                <c:pt idx="1">
                  <c:v>198.6</c:v>
                </c:pt>
                <c:pt idx="2">
                  <c:v>198.6</c:v>
                </c:pt>
                <c:pt idx="3">
                  <c:v>198.6</c:v>
                </c:pt>
                <c:pt idx="4">
                  <c:v>198.6</c:v>
                </c:pt>
                <c:pt idx="5">
                  <c:v>198.6</c:v>
                </c:pt>
                <c:pt idx="6">
                  <c:v>198.6</c:v>
                </c:pt>
                <c:pt idx="7">
                  <c:v>188.7</c:v>
                </c:pt>
                <c:pt idx="8">
                  <c:v>165.2</c:v>
                </c:pt>
                <c:pt idx="9">
                  <c:v>165.2</c:v>
                </c:pt>
                <c:pt idx="10">
                  <c:v>160.1</c:v>
                </c:pt>
                <c:pt idx="11">
                  <c:v>156.1</c:v>
                </c:pt>
                <c:pt idx="12">
                  <c:v>156.1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F5D-4E81-B9B8-CD72DA0739CE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'SFH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'SFH - Thermal needs'!$D$10:$P$10</c:f>
              <c:numCache>
                <c:formatCode>0.0</c:formatCode>
                <c:ptCount val="13"/>
                <c:pt idx="0">
                  <c:v>180.55555555555554</c:v>
                </c:pt>
                <c:pt idx="1">
                  <c:v>180.55555555555554</c:v>
                </c:pt>
                <c:pt idx="2">
                  <c:v>180.55555555555554</c:v>
                </c:pt>
                <c:pt idx="3">
                  <c:v>180.55555555555554</c:v>
                </c:pt>
                <c:pt idx="4">
                  <c:v>180.55555555555554</c:v>
                </c:pt>
                <c:pt idx="5">
                  <c:v>208.33333333333331</c:v>
                </c:pt>
                <c:pt idx="6">
                  <c:v>208.33333333333331</c:v>
                </c:pt>
                <c:pt idx="7">
                  <c:v>208.33333333333331</c:v>
                </c:pt>
                <c:pt idx="8">
                  <c:v>208.33333333333331</c:v>
                </c:pt>
                <c:pt idx="9">
                  <c:v>147.22222222222223</c:v>
                </c:pt>
                <c:pt idx="10">
                  <c:v>91.666666666666671</c:v>
                </c:pt>
                <c:pt idx="11" formatCode="General">
                  <c:v>62.5</c:v>
                </c:pt>
                <c:pt idx="12">
                  <c:v>45.138888888888886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F5D-4E81-B9B8-CD72DA0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37064"/>
        <c:axId val="260741376"/>
      </c:scatterChart>
      <c:valAx>
        <c:axId val="260737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41376"/>
        <c:crosses val="autoZero"/>
        <c:crossBetween val="midCat"/>
      </c:valAx>
      <c:valAx>
        <c:axId val="26074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37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needs'!$D$3:$P$3</c:f>
              <c:numCache>
                <c:formatCode>General</c:formatCode>
                <c:ptCount val="13"/>
                <c:pt idx="0">
                  <c:v>125.7</c:v>
                </c:pt>
                <c:pt idx="1">
                  <c:v>125.7</c:v>
                </c:pt>
                <c:pt idx="2">
                  <c:v>125.7</c:v>
                </c:pt>
                <c:pt idx="3">
                  <c:v>135.9</c:v>
                </c:pt>
                <c:pt idx="4">
                  <c:v>135.9</c:v>
                </c:pt>
                <c:pt idx="5">
                  <c:v>135.9</c:v>
                </c:pt>
                <c:pt idx="6">
                  <c:v>125.4</c:v>
                </c:pt>
                <c:pt idx="7">
                  <c:v>126.6</c:v>
                </c:pt>
                <c:pt idx="8">
                  <c:v>126.6</c:v>
                </c:pt>
                <c:pt idx="9">
                  <c:v>89.9</c:v>
                </c:pt>
                <c:pt idx="10">
                  <c:v>88</c:v>
                </c:pt>
                <c:pt idx="11">
                  <c:v>77.900000000000006</c:v>
                </c:pt>
                <c:pt idx="12">
                  <c:v>91.9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D4-45AA-8F0A-9F5C7C5218A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needs'!$D$4:$P$4</c:f>
              <c:numCache>
                <c:formatCode>General</c:formatCode>
                <c:ptCount val="13"/>
                <c:pt idx="0">
                  <c:v>137.69999999999999</c:v>
                </c:pt>
                <c:pt idx="1">
                  <c:v>137.69999999999999</c:v>
                </c:pt>
                <c:pt idx="2">
                  <c:v>137.69999999999999</c:v>
                </c:pt>
                <c:pt idx="3">
                  <c:v>137.69999999999999</c:v>
                </c:pt>
                <c:pt idx="4">
                  <c:v>109.5</c:v>
                </c:pt>
                <c:pt idx="5">
                  <c:v>109.5</c:v>
                </c:pt>
                <c:pt idx="6">
                  <c:v>110.6</c:v>
                </c:pt>
                <c:pt idx="7">
                  <c:v>117</c:v>
                </c:pt>
                <c:pt idx="8">
                  <c:v>99.7</c:v>
                </c:pt>
                <c:pt idx="9">
                  <c:v>66.900000000000006</c:v>
                </c:pt>
                <c:pt idx="10">
                  <c:v>66.900000000000006</c:v>
                </c:pt>
                <c:pt idx="11">
                  <c:v>58</c:v>
                </c:pt>
                <c:pt idx="12">
                  <c:v>55.8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D4-45AA-8F0A-9F5C7C5218A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needs'!$D$5:$P$5</c:f>
              <c:numCache>
                <c:formatCode>General</c:formatCode>
                <c:ptCount val="13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126.3</c:v>
                </c:pt>
                <c:pt idx="4">
                  <c:v>126.3</c:v>
                </c:pt>
                <c:pt idx="5">
                  <c:v>126.3</c:v>
                </c:pt>
                <c:pt idx="6">
                  <c:v>119.5</c:v>
                </c:pt>
                <c:pt idx="7">
                  <c:v>109.1</c:v>
                </c:pt>
                <c:pt idx="8">
                  <c:v>96.6</c:v>
                </c:pt>
                <c:pt idx="9">
                  <c:v>82.7</c:v>
                </c:pt>
                <c:pt idx="10">
                  <c:v>58.2</c:v>
                </c:pt>
                <c:pt idx="11">
                  <c:v>47.3</c:v>
                </c:pt>
                <c:pt idx="12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D4-45AA-8F0A-9F5C7C5218A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needs'!$D$6:$P$6</c:f>
              <c:numCache>
                <c:formatCode>General</c:formatCode>
                <c:ptCount val="13"/>
                <c:pt idx="0">
                  <c:v>128.6</c:v>
                </c:pt>
                <c:pt idx="1">
                  <c:v>128.6</c:v>
                </c:pt>
                <c:pt idx="2">
                  <c:v>128.6</c:v>
                </c:pt>
                <c:pt idx="3">
                  <c:v>147.69999999999999</c:v>
                </c:pt>
                <c:pt idx="4">
                  <c:v>147.69999999999999</c:v>
                </c:pt>
                <c:pt idx="5">
                  <c:v>147.69999999999999</c:v>
                </c:pt>
                <c:pt idx="6">
                  <c:v>137.4</c:v>
                </c:pt>
                <c:pt idx="7">
                  <c:v>112.4</c:v>
                </c:pt>
                <c:pt idx="8">
                  <c:v>102</c:v>
                </c:pt>
                <c:pt idx="9">
                  <c:v>105</c:v>
                </c:pt>
                <c:pt idx="10">
                  <c:v>88.1</c:v>
                </c:pt>
                <c:pt idx="11">
                  <c:v>55.9</c:v>
                </c:pt>
                <c:pt idx="12">
                  <c:v>73.5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D4-45AA-8F0A-9F5C7C5218A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needs'!$D$7:$P$7</c:f>
              <c:numCache>
                <c:formatCode>General</c:formatCode>
                <c:ptCount val="13"/>
                <c:pt idx="0">
                  <c:v>115</c:v>
                </c:pt>
                <c:pt idx="1">
                  <c:v>100</c:v>
                </c:pt>
                <c:pt idx="2">
                  <c:v>100</c:v>
                </c:pt>
                <c:pt idx="3">
                  <c:v>113.5</c:v>
                </c:pt>
                <c:pt idx="4">
                  <c:v>113.5</c:v>
                </c:pt>
                <c:pt idx="5">
                  <c:v>113.5</c:v>
                </c:pt>
                <c:pt idx="6">
                  <c:v>106.7</c:v>
                </c:pt>
                <c:pt idx="7">
                  <c:v>105.2</c:v>
                </c:pt>
                <c:pt idx="8">
                  <c:v>105.2</c:v>
                </c:pt>
                <c:pt idx="9">
                  <c:v>88</c:v>
                </c:pt>
                <c:pt idx="10">
                  <c:v>74.599999999999994</c:v>
                </c:pt>
                <c:pt idx="11">
                  <c:v>74.599999999999994</c:v>
                </c:pt>
                <c:pt idx="12">
                  <c:v>58.2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D4-45AA-8F0A-9F5C7C5218A6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needs'!$D$8:$P$8</c:f>
              <c:numCache>
                <c:formatCode>General</c:formatCode>
                <c:ptCount val="13"/>
                <c:pt idx="0">
                  <c:v>11.8</c:v>
                </c:pt>
                <c:pt idx="1">
                  <c:v>7.7</c:v>
                </c:pt>
                <c:pt idx="2">
                  <c:v>7.7</c:v>
                </c:pt>
                <c:pt idx="3">
                  <c:v>7.7</c:v>
                </c:pt>
                <c:pt idx="4">
                  <c:v>7.7</c:v>
                </c:pt>
                <c:pt idx="5">
                  <c:v>11.3</c:v>
                </c:pt>
                <c:pt idx="6">
                  <c:v>11.3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D4-45AA-8F0A-9F5C7C5218A6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needs'!$D$9:$P$9</c:f>
              <c:numCache>
                <c:formatCode>General</c:formatCode>
                <c:ptCount val="13"/>
                <c:pt idx="0">
                  <c:v>128.80000000000001</c:v>
                </c:pt>
                <c:pt idx="1">
                  <c:v>128.80000000000001</c:v>
                </c:pt>
                <c:pt idx="2">
                  <c:v>128.80000000000001</c:v>
                </c:pt>
                <c:pt idx="3">
                  <c:v>128.80000000000001</c:v>
                </c:pt>
                <c:pt idx="4">
                  <c:v>128.80000000000001</c:v>
                </c:pt>
                <c:pt idx="5">
                  <c:v>128.80000000000001</c:v>
                </c:pt>
                <c:pt idx="6">
                  <c:v>128.80000000000001</c:v>
                </c:pt>
                <c:pt idx="7">
                  <c:v>115.3</c:v>
                </c:pt>
                <c:pt idx="8">
                  <c:v>115.3</c:v>
                </c:pt>
                <c:pt idx="9">
                  <c:v>95.4</c:v>
                </c:pt>
                <c:pt idx="10">
                  <c:v>84.4</c:v>
                </c:pt>
                <c:pt idx="11">
                  <c:v>83.3</c:v>
                </c:pt>
                <c:pt idx="12">
                  <c:v>83.3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D4-45AA-8F0A-9F5C7C5218A6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'MFH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'MFH - Thermal needs'!$D$10:$P$10</c:f>
              <c:numCache>
                <c:formatCode>0.0</c:formatCode>
                <c:ptCount val="13"/>
                <c:pt idx="0">
                  <c:v>173.61111111111111</c:v>
                </c:pt>
                <c:pt idx="1">
                  <c:v>173.61111111111111</c:v>
                </c:pt>
                <c:pt idx="2">
                  <c:v>173.61111111111111</c:v>
                </c:pt>
                <c:pt idx="3">
                  <c:v>173.61111111111111</c:v>
                </c:pt>
                <c:pt idx="4">
                  <c:v>173.61111111111111</c:v>
                </c:pt>
                <c:pt idx="5">
                  <c:v>201.38888888888889</c:v>
                </c:pt>
                <c:pt idx="6">
                  <c:v>201.38888888888889</c:v>
                </c:pt>
                <c:pt idx="7">
                  <c:v>201.38888888888889</c:v>
                </c:pt>
                <c:pt idx="8">
                  <c:v>201.38888888888889</c:v>
                </c:pt>
                <c:pt idx="9">
                  <c:v>140.27777777777777</c:v>
                </c:pt>
                <c:pt idx="10">
                  <c:v>91.666666666666671</c:v>
                </c:pt>
                <c:pt idx="11" formatCode="General">
                  <c:v>62.5</c:v>
                </c:pt>
                <c:pt idx="12">
                  <c:v>45.138888888888886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0D4-45AA-8F0A-9F5C7C52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734320"/>
        <c:axId val="260734712"/>
      </c:scatterChart>
      <c:valAx>
        <c:axId val="26073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34712"/>
        <c:crosses val="autoZero"/>
        <c:crossBetween val="midCat"/>
      </c:valAx>
      <c:valAx>
        <c:axId val="2607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0734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needs'!$D$3:$P$3</c:f>
              <c:numCache>
                <c:formatCode>General</c:formatCode>
                <c:ptCount val="13"/>
                <c:pt idx="0">
                  <c:v>108.9</c:v>
                </c:pt>
                <c:pt idx="1">
                  <c:v>108.9</c:v>
                </c:pt>
                <c:pt idx="2">
                  <c:v>108.9</c:v>
                </c:pt>
                <c:pt idx="3">
                  <c:v>125.1</c:v>
                </c:pt>
                <c:pt idx="4">
                  <c:v>125.1</c:v>
                </c:pt>
                <c:pt idx="5">
                  <c:v>125.1</c:v>
                </c:pt>
                <c:pt idx="6">
                  <c:v>112.3</c:v>
                </c:pt>
                <c:pt idx="7">
                  <c:v>112</c:v>
                </c:pt>
                <c:pt idx="8">
                  <c:v>112</c:v>
                </c:pt>
                <c:pt idx="9">
                  <c:v>83.8</c:v>
                </c:pt>
                <c:pt idx="10">
                  <c:v>83.8</c:v>
                </c:pt>
                <c:pt idx="11">
                  <c:v>68.8</c:v>
                </c:pt>
                <c:pt idx="12">
                  <c:v>78.400000000000006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57-4418-94E9-2639095E5F4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needs'!$D$4:$P$4</c:f>
              <c:numCache>
                <c:formatCode>General</c:formatCode>
                <c:ptCount val="13"/>
                <c:pt idx="0">
                  <c:v>127.2</c:v>
                </c:pt>
                <c:pt idx="1">
                  <c:v>127.2</c:v>
                </c:pt>
                <c:pt idx="2">
                  <c:v>127.2</c:v>
                </c:pt>
                <c:pt idx="3">
                  <c:v>127.2</c:v>
                </c:pt>
                <c:pt idx="4">
                  <c:v>139.30000000000001</c:v>
                </c:pt>
                <c:pt idx="5">
                  <c:v>139.30000000000001</c:v>
                </c:pt>
                <c:pt idx="6">
                  <c:v>148.4</c:v>
                </c:pt>
                <c:pt idx="7">
                  <c:v>104.4</c:v>
                </c:pt>
                <c:pt idx="8">
                  <c:v>102</c:v>
                </c:pt>
                <c:pt idx="9">
                  <c:v>68.5</c:v>
                </c:pt>
                <c:pt idx="10">
                  <c:v>68.5</c:v>
                </c:pt>
                <c:pt idx="11">
                  <c:v>54.2</c:v>
                </c:pt>
                <c:pt idx="12">
                  <c:v>48.3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57-4418-94E9-2639095E5F4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needs'!$D$5:$P$5</c:f>
              <c:numCache>
                <c:formatCode>General</c:formatCode>
                <c:ptCount val="13"/>
                <c:pt idx="0">
                  <c:v>109.6</c:v>
                </c:pt>
                <c:pt idx="1">
                  <c:v>109.6</c:v>
                </c:pt>
                <c:pt idx="2">
                  <c:v>109.6</c:v>
                </c:pt>
                <c:pt idx="3">
                  <c:v>131.9</c:v>
                </c:pt>
                <c:pt idx="4">
                  <c:v>131.9</c:v>
                </c:pt>
                <c:pt idx="5">
                  <c:v>131.9</c:v>
                </c:pt>
                <c:pt idx="6">
                  <c:v>102.4</c:v>
                </c:pt>
                <c:pt idx="7">
                  <c:v>95.4</c:v>
                </c:pt>
                <c:pt idx="8">
                  <c:v>96</c:v>
                </c:pt>
                <c:pt idx="9">
                  <c:v>71.8</c:v>
                </c:pt>
                <c:pt idx="10">
                  <c:v>52.4</c:v>
                </c:pt>
                <c:pt idx="11">
                  <c:v>41</c:v>
                </c:pt>
                <c:pt idx="12">
                  <c:v>20.399999999999999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57-4418-94E9-2639095E5F41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needs'!$D$6:$P$6</c:f>
              <c:numCache>
                <c:formatCode>General</c:formatCode>
                <c:ptCount val="13"/>
                <c:pt idx="0">
                  <c:v>109.1</c:v>
                </c:pt>
                <c:pt idx="1">
                  <c:v>109.1</c:v>
                </c:pt>
                <c:pt idx="2">
                  <c:v>109.1</c:v>
                </c:pt>
                <c:pt idx="3">
                  <c:v>126.3</c:v>
                </c:pt>
                <c:pt idx="4">
                  <c:v>126.3</c:v>
                </c:pt>
                <c:pt idx="5">
                  <c:v>126.3</c:v>
                </c:pt>
                <c:pt idx="6">
                  <c:v>124.7</c:v>
                </c:pt>
                <c:pt idx="7">
                  <c:v>114.1</c:v>
                </c:pt>
                <c:pt idx="8">
                  <c:v>101.4</c:v>
                </c:pt>
                <c:pt idx="9">
                  <c:v>77.3</c:v>
                </c:pt>
                <c:pt idx="10">
                  <c:v>77.3</c:v>
                </c:pt>
                <c:pt idx="11">
                  <c:v>77.3</c:v>
                </c:pt>
                <c:pt idx="12">
                  <c:v>77.3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57-4418-94E9-2639095E5F41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needs'!$D$7:$P$7</c:f>
              <c:numCache>
                <c:formatCode>General</c:formatCode>
                <c:ptCount val="13"/>
                <c:pt idx="0">
                  <c:v>90.7</c:v>
                </c:pt>
                <c:pt idx="1">
                  <c:v>110.5</c:v>
                </c:pt>
                <c:pt idx="2">
                  <c:v>110.5</c:v>
                </c:pt>
                <c:pt idx="3">
                  <c:v>103.2</c:v>
                </c:pt>
                <c:pt idx="4">
                  <c:v>103.2</c:v>
                </c:pt>
                <c:pt idx="5">
                  <c:v>103.2</c:v>
                </c:pt>
                <c:pt idx="6">
                  <c:v>103.9</c:v>
                </c:pt>
                <c:pt idx="7">
                  <c:v>99.2</c:v>
                </c:pt>
                <c:pt idx="8">
                  <c:v>99.2</c:v>
                </c:pt>
                <c:pt idx="9">
                  <c:v>69.5</c:v>
                </c:pt>
                <c:pt idx="10">
                  <c:v>70.3</c:v>
                </c:pt>
                <c:pt idx="11">
                  <c:v>70.3</c:v>
                </c:pt>
                <c:pt idx="12">
                  <c:v>53.4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57-4418-94E9-2639095E5F41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needs'!$D$8:$P$8</c:f>
              <c:numCache>
                <c:formatCode>General</c:formatCode>
                <c:ptCount val="13"/>
                <c:pt idx="0">
                  <c:v>7.8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8.5</c:v>
                </c:pt>
                <c:pt idx="5">
                  <c:v>7.4</c:v>
                </c:pt>
                <c:pt idx="6">
                  <c:v>7.4</c:v>
                </c:pt>
                <c:pt idx="7">
                  <c:v>4.3</c:v>
                </c:pt>
                <c:pt idx="8">
                  <c:v>4.3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57-4418-94E9-2639095E5F41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needs'!$D$9:$P$9</c:f>
              <c:numCache>
                <c:formatCode>General</c:formatCode>
                <c:ptCount val="13"/>
                <c:pt idx="0">
                  <c:v>128.80000000000001</c:v>
                </c:pt>
                <c:pt idx="1">
                  <c:v>128.80000000000001</c:v>
                </c:pt>
                <c:pt idx="2">
                  <c:v>128.80000000000001</c:v>
                </c:pt>
                <c:pt idx="3">
                  <c:v>128.80000000000001</c:v>
                </c:pt>
                <c:pt idx="4">
                  <c:v>128.80000000000001</c:v>
                </c:pt>
                <c:pt idx="5">
                  <c:v>128.80000000000001</c:v>
                </c:pt>
                <c:pt idx="6">
                  <c:v>128.80000000000001</c:v>
                </c:pt>
                <c:pt idx="7">
                  <c:v>115.3</c:v>
                </c:pt>
                <c:pt idx="8">
                  <c:v>115.3</c:v>
                </c:pt>
                <c:pt idx="9">
                  <c:v>95.4</c:v>
                </c:pt>
                <c:pt idx="10">
                  <c:v>84.4</c:v>
                </c:pt>
                <c:pt idx="11">
                  <c:v>83.3</c:v>
                </c:pt>
                <c:pt idx="12">
                  <c:v>83.3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D57-4418-94E9-2639095E5F41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'BA - Thermal needs'!$D$2:$P$2</c:f>
              <c:strCache>
                <c:ptCount val="13"/>
                <c:pt idx="0">
                  <c:v>…-1900</c:v>
                </c:pt>
                <c:pt idx="1">
                  <c:v>1900-1910</c:v>
                </c:pt>
                <c:pt idx="2">
                  <c:v>1910-1920</c:v>
                </c:pt>
                <c:pt idx="3">
                  <c:v>1920-1930</c:v>
                </c:pt>
                <c:pt idx="4">
                  <c:v>1930-1940</c:v>
                </c:pt>
                <c:pt idx="5">
                  <c:v>1940-1950</c:v>
                </c:pt>
                <c:pt idx="6">
                  <c:v>1950-1960</c:v>
                </c:pt>
                <c:pt idx="7">
                  <c:v>1960-1970</c:v>
                </c:pt>
                <c:pt idx="8">
                  <c:v>1970-1980</c:v>
                </c:pt>
                <c:pt idx="9">
                  <c:v>1980-1990</c:v>
                </c:pt>
                <c:pt idx="10">
                  <c:v>1990-2000</c:v>
                </c:pt>
                <c:pt idx="11">
                  <c:v>2000-2010</c:v>
                </c:pt>
                <c:pt idx="12">
                  <c:v>2010-…</c:v>
                </c:pt>
              </c:strCache>
            </c:strRef>
          </c:xVal>
          <c:yVal>
            <c:numRef>
              <c:f>'BA - Thermal needs'!$D$10:$P$10</c:f>
              <c:numCache>
                <c:formatCode>0.0</c:formatCode>
                <c:ptCount val="13"/>
                <c:pt idx="0">
                  <c:v>159.72222222222223</c:v>
                </c:pt>
                <c:pt idx="1">
                  <c:v>159.72222222222223</c:v>
                </c:pt>
                <c:pt idx="2">
                  <c:v>159.72222222222223</c:v>
                </c:pt>
                <c:pt idx="3">
                  <c:v>159.72222222222223</c:v>
                </c:pt>
                <c:pt idx="4">
                  <c:v>159.72222222222223</c:v>
                </c:pt>
                <c:pt idx="5">
                  <c:v>201.38888888888889</c:v>
                </c:pt>
                <c:pt idx="6">
                  <c:v>201.38888888888889</c:v>
                </c:pt>
                <c:pt idx="7">
                  <c:v>201.38888888888889</c:v>
                </c:pt>
                <c:pt idx="8">
                  <c:v>201.38888888888889</c:v>
                </c:pt>
                <c:pt idx="9">
                  <c:v>145.83333333333334</c:v>
                </c:pt>
                <c:pt idx="10">
                  <c:v>83.333333333333329</c:v>
                </c:pt>
                <c:pt idx="11">
                  <c:v>59.722222222222221</c:v>
                </c:pt>
                <c:pt idx="12">
                  <c:v>42.361111111111107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57-4418-94E9-2639095E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01184"/>
        <c:axId val="265672264"/>
      </c:scatterChart>
      <c:valAx>
        <c:axId val="14520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5672264"/>
        <c:crosses val="autoZero"/>
        <c:crossBetween val="midCat"/>
      </c:valAx>
      <c:valAx>
        <c:axId val="26567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201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6</xdr:row>
      <xdr:rowOff>9525</xdr:rowOff>
    </xdr:from>
    <xdr:to>
      <xdr:col>0</xdr:col>
      <xdr:colOff>5952467</xdr:colOff>
      <xdr:row>45</xdr:row>
      <xdr:rowOff>46692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8442BE-3EA9-4D6D-9305-67A0EBD1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552575"/>
          <a:ext cx="5266667" cy="74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0</xdr:row>
      <xdr:rowOff>1</xdr:rowOff>
    </xdr:from>
    <xdr:to>
      <xdr:col>5</xdr:col>
      <xdr:colOff>361950</xdr:colOff>
      <xdr:row>6</xdr:row>
      <xdr:rowOff>139185</xdr:rowOff>
    </xdr:to>
    <xdr:pic>
      <xdr:nvPicPr>
        <xdr:cNvPr id="3" name="Image 2" descr="RÃ©sultat de recherche d'images pour &quot;logo sorane sa&quot;">
          <a:extLst>
            <a:ext uri="{FF2B5EF4-FFF2-40B4-BE49-F238E27FC236}">
              <a16:creationId xmlns:a16="http://schemas.microsoft.com/office/drawing/2014/main" id="{4577F4E2-7119-44F2-8C90-2B4F2459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"/>
          <a:ext cx="3381375" cy="168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68579</xdr:colOff>
          <xdr:row>35</xdr:row>
          <xdr:rowOff>38101</xdr:rowOff>
        </xdr:from>
        <xdr:to>
          <xdr:col>2</xdr:col>
          <xdr:colOff>1603001</xdr:colOff>
          <xdr:row>35</xdr:row>
          <xdr:rowOff>1183343</xdr:rowOff>
        </xdr:to>
        <xdr:pic>
          <xdr:nvPicPr>
            <xdr:cNvPr id="8" name="Picture 5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extLst>
                <a:ext uri="{84589F7E-364E-4C9E-8A38-B11213B215E9}">
                  <a14:cameraTool cellRange="Size_index_Pict" spid="_x0000_s24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93097" y="6062383"/>
              <a:ext cx="1562997" cy="1145242"/>
            </a:xfrm>
            <a:prstGeom prst="rect">
              <a:avLst/>
            </a:prstGeom>
            <a:noFill/>
            <a:ln>
              <a:noFill/>
            </a:ln>
            <a:extLst/>
          </xdr:spPr>
        </xdr:pic>
        <xdr:clientData/>
      </xdr:twoCellAnchor>
    </mc:Choice>
    <mc:Fallback/>
  </mc:AlternateContent>
  <xdr:twoCellAnchor editAs="oneCell">
    <xdr:from>
      <xdr:col>8</xdr:col>
      <xdr:colOff>425824</xdr:colOff>
      <xdr:row>0</xdr:row>
      <xdr:rowOff>168088</xdr:rowOff>
    </xdr:from>
    <xdr:to>
      <xdr:col>9</xdr:col>
      <xdr:colOff>1473772</xdr:colOff>
      <xdr:row>7</xdr:row>
      <xdr:rowOff>169769</xdr:rowOff>
    </xdr:to>
    <xdr:pic>
      <xdr:nvPicPr>
        <xdr:cNvPr id="3" name="Image 2" descr="RÃ©sultat de recherche d'images pour &quot;logo sorane sa&quot;">
          <a:extLst>
            <a:ext uri="{FF2B5EF4-FFF2-40B4-BE49-F238E27FC236}">
              <a16:creationId xmlns:a16="http://schemas.microsoft.com/office/drawing/2014/main" id="{E2A0497C-6E19-422C-8794-B0D86E47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3942" y="168088"/>
          <a:ext cx="2728830" cy="1357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31</xdr:row>
      <xdr:rowOff>45720</xdr:rowOff>
    </xdr:from>
    <xdr:to>
      <xdr:col>1</xdr:col>
      <xdr:colOff>1087120</xdr:colOff>
      <xdr:row>31</xdr:row>
      <xdr:rowOff>873125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6301740"/>
          <a:ext cx="1079500" cy="8274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1079500</xdr:colOff>
      <xdr:row>32</xdr:row>
      <xdr:rowOff>827405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3070860"/>
          <a:ext cx="1079500" cy="8274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1079500</xdr:colOff>
      <xdr:row>33</xdr:row>
      <xdr:rowOff>827405</xdr:rowOff>
    </xdr:to>
    <xdr:pic>
      <xdr:nvPicPr>
        <xdr:cNvPr id="5" name="Picture 102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73" r="16576" b="7941"/>
        <a:stretch/>
      </xdr:blipFill>
      <xdr:spPr bwMode="auto">
        <a:xfrm>
          <a:off x="2125980" y="3947160"/>
          <a:ext cx="1079500" cy="827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</xdr:colOff>
      <xdr:row>34</xdr:row>
      <xdr:rowOff>0</xdr:rowOff>
    </xdr:from>
    <xdr:to>
      <xdr:col>1</xdr:col>
      <xdr:colOff>1104901</xdr:colOff>
      <xdr:row>34</xdr:row>
      <xdr:rowOff>792480</xdr:rowOff>
    </xdr:to>
    <xdr:pic>
      <xdr:nvPicPr>
        <xdr:cNvPr id="6" name="Picture 4" descr="O:\Projekte\Concerto- Aufschließung Stadtwerkeareal\Grafik_Foto\Fotos\Solar\HS_111006_23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6686" t="2057" r="10670" b="4938"/>
        <a:stretch/>
      </xdr:blipFill>
      <xdr:spPr bwMode="auto">
        <a:xfrm>
          <a:off x="2125981" y="4823460"/>
          <a:ext cx="1104900" cy="7924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</xdr:colOff>
      <xdr:row>35</xdr:row>
      <xdr:rowOff>0</xdr:rowOff>
    </xdr:from>
    <xdr:to>
      <xdr:col>1</xdr:col>
      <xdr:colOff>1112521</xdr:colOff>
      <xdr:row>35</xdr:row>
      <xdr:rowOff>822960</xdr:rowOff>
    </xdr:to>
    <xdr:pic>
      <xdr:nvPicPr>
        <xdr:cNvPr id="7" name="Grafik 2244" descr="http://www.vojensfjernvarme.dk/umbraco/ImageGen.ashx?image=/media/2755375/_dsc2521-redi.jpg&amp;width=686&amp;height=27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1" y="5699760"/>
          <a:ext cx="1112520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18</xdr:row>
      <xdr:rowOff>11430</xdr:rowOff>
    </xdr:from>
    <xdr:to>
      <xdr:col>11</xdr:col>
      <xdr:colOff>617220</xdr:colOff>
      <xdr:row>33</xdr:row>
      <xdr:rowOff>11430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18</xdr:row>
      <xdr:rowOff>139065</xdr:rowOff>
    </xdr:from>
    <xdr:to>
      <xdr:col>12</xdr:col>
      <xdr:colOff>121920</xdr:colOff>
      <xdr:row>33</xdr:row>
      <xdr:rowOff>139065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38100</xdr:colOff>
      <xdr:row>11</xdr:row>
      <xdr:rowOff>93345</xdr:rowOff>
    </xdr:from>
    <xdr:to>
      <xdr:col>18</xdr:col>
      <xdr:colOff>562445</xdr:colOff>
      <xdr:row>26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2207895"/>
          <a:ext cx="4220045" cy="285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20</xdr:col>
      <xdr:colOff>275514</xdr:colOff>
      <xdr:row>50</xdr:row>
      <xdr:rowOff>45234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5040" y="5326380"/>
          <a:ext cx="5685714" cy="38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701040</xdr:colOff>
      <xdr:row>13</xdr:row>
      <xdr:rowOff>137160</xdr:rowOff>
    </xdr:from>
    <xdr:to>
      <xdr:col>12</xdr:col>
      <xdr:colOff>45720</xdr:colOff>
      <xdr:row>28</xdr:row>
      <xdr:rowOff>137160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14</xdr:row>
      <xdr:rowOff>0</xdr:rowOff>
    </xdr:from>
    <xdr:to>
      <xdr:col>18</xdr:col>
      <xdr:colOff>403331</xdr:colOff>
      <xdr:row>28</xdr:row>
      <xdr:rowOff>87299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5040" y="2583180"/>
          <a:ext cx="4228571" cy="26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86139</xdr:colOff>
      <xdr:row>12</xdr:row>
      <xdr:rowOff>1</xdr:rowOff>
    </xdr:from>
    <xdr:to>
      <xdr:col>12</xdr:col>
      <xdr:colOff>165652</xdr:colOff>
      <xdr:row>26</xdr:row>
      <xdr:rowOff>145774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13</xdr:row>
      <xdr:rowOff>0</xdr:rowOff>
    </xdr:from>
    <xdr:to>
      <xdr:col>18</xdr:col>
      <xdr:colOff>403331</xdr:colOff>
      <xdr:row>27</xdr:row>
      <xdr:rowOff>87299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5040" y="2400300"/>
          <a:ext cx="4228571" cy="2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re.jrc.ec.europa.eu/pvgis/cmaps/eur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ebtool.building-typology.eu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ebtool.building-typology.eu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ebtool.building-typology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CA2F-8932-4CC5-B063-6829F8955AD9}">
  <dimension ref="A1:A4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115.7109375" bestFit="1" customWidth="1"/>
  </cols>
  <sheetData>
    <row r="1" spans="1:1" ht="46.5" x14ac:dyDescent="0.7">
      <c r="A1" s="159" t="s">
        <v>177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zoomScale="85" zoomScaleNormal="85" workbookViewId="0">
      <selection activeCell="L16" sqref="L16"/>
    </sheetView>
  </sheetViews>
  <sheetFormatPr baseColWidth="10" defaultColWidth="11.5703125" defaultRowHeight="15" x14ac:dyDescent="0.25"/>
  <cols>
    <col min="1" max="1" width="2.7109375" style="9" customWidth="1"/>
    <col min="2" max="2" width="50.42578125" style="3" bestFit="1" customWidth="1"/>
    <col min="3" max="3" width="28.5703125" style="3" bestFit="1" customWidth="1"/>
    <col min="4" max="5" width="23.140625" style="3" customWidth="1"/>
    <col min="6" max="8" width="23.140625" style="9" customWidth="1"/>
    <col min="9" max="9" width="25.140625" style="9" customWidth="1"/>
    <col min="10" max="10" width="23.140625" style="9" customWidth="1"/>
    <col min="11" max="11" width="2.140625" style="3" customWidth="1"/>
    <col min="12" max="12" width="21.42578125" style="3" customWidth="1"/>
    <col min="13" max="16384" width="11.5703125" style="3"/>
  </cols>
  <sheetData>
    <row r="1" spans="1:11" x14ac:dyDescent="0.25">
      <c r="B1" s="11" t="s">
        <v>51</v>
      </c>
    </row>
    <row r="2" spans="1:11" ht="15.75" thickBot="1" x14ac:dyDescent="0.3"/>
    <row r="3" spans="1:11" ht="15.75" thickBot="1" x14ac:dyDescent="0.3">
      <c r="B3" s="27"/>
      <c r="C3" s="143" t="s">
        <v>0</v>
      </c>
      <c r="D3" s="144"/>
      <c r="E3" s="145"/>
    </row>
    <row r="4" spans="1:11" s="8" customFormat="1" x14ac:dyDescent="0.25">
      <c r="A4" s="9"/>
      <c r="B4" s="52" t="s">
        <v>50</v>
      </c>
      <c r="C4" s="70" t="s">
        <v>39</v>
      </c>
      <c r="D4" s="71"/>
      <c r="E4" s="72"/>
      <c r="G4" s="9"/>
      <c r="H4" s="9"/>
      <c r="I4" s="9"/>
      <c r="J4" s="9"/>
      <c r="K4" s="9"/>
    </row>
    <row r="5" spans="1:11" x14ac:dyDescent="0.25">
      <c r="B5" s="66" t="s">
        <v>134</v>
      </c>
      <c r="C5" s="67" t="s">
        <v>21</v>
      </c>
      <c r="D5" s="68" t="s">
        <v>116</v>
      </c>
      <c r="E5" s="69" t="s">
        <v>117</v>
      </c>
      <c r="F5" s="3"/>
      <c r="K5" s="9"/>
    </row>
    <row r="6" spans="1:11" x14ac:dyDescent="0.25">
      <c r="B6" s="19" t="s">
        <v>118</v>
      </c>
      <c r="C6" s="18">
        <v>500</v>
      </c>
      <c r="D6" s="63">
        <v>0</v>
      </c>
      <c r="E6" s="20">
        <v>0</v>
      </c>
      <c r="F6" s="3"/>
      <c r="K6" s="9"/>
    </row>
    <row r="7" spans="1:11" s="9" customFormat="1" x14ac:dyDescent="0.25">
      <c r="B7" s="19" t="s">
        <v>119</v>
      </c>
      <c r="C7" s="18" t="s">
        <v>127</v>
      </c>
      <c r="D7" s="63" t="s">
        <v>127</v>
      </c>
      <c r="E7" s="20" t="s">
        <v>129</v>
      </c>
    </row>
    <row r="8" spans="1:11" s="9" customFormat="1" x14ac:dyDescent="0.25">
      <c r="B8" s="19" t="s">
        <v>135</v>
      </c>
      <c r="C8" s="18">
        <v>0</v>
      </c>
      <c r="D8" s="63">
        <v>0</v>
      </c>
      <c r="E8" s="20">
        <v>0</v>
      </c>
    </row>
    <row r="9" spans="1:11" s="4" customFormat="1" ht="13.9" customHeight="1" x14ac:dyDescent="0.25">
      <c r="B9" s="21" t="s">
        <v>88</v>
      </c>
      <c r="C9" s="17">
        <f>C6*Parameter!B3</f>
        <v>6944.4444444444443</v>
      </c>
      <c r="D9" s="64">
        <f>D6*Parameter!B4</f>
        <v>0</v>
      </c>
      <c r="E9" s="22">
        <f>E6*Parameter!B5</f>
        <v>0</v>
      </c>
      <c r="I9" s="112"/>
    </row>
    <row r="10" spans="1:11" s="4" customFormat="1" ht="13.9" customHeight="1" x14ac:dyDescent="0.25">
      <c r="B10" s="21" t="s">
        <v>89</v>
      </c>
      <c r="C10" s="17">
        <f>C6*'SFH - Thermal needs'!B2*(100-C8)/100</f>
        <v>104166.66666666666</v>
      </c>
      <c r="D10" s="64">
        <f>D6*'MFH - Thermal needs'!B2*(100-D8)/100</f>
        <v>0</v>
      </c>
      <c r="E10" s="22">
        <f>E6*'BA - Thermal needs'!B2*(100-E8)/100</f>
        <v>0</v>
      </c>
      <c r="I10" s="112"/>
    </row>
    <row r="11" spans="1:11" s="4" customFormat="1" x14ac:dyDescent="0.25">
      <c r="B11" s="21" t="s">
        <v>133</v>
      </c>
      <c r="C11" s="17">
        <f>C9+C10</f>
        <v>111111.11111111109</v>
      </c>
      <c r="D11" s="17">
        <f>D9+D10</f>
        <v>0</v>
      </c>
      <c r="E11" s="22">
        <f>E9+E10</f>
        <v>0</v>
      </c>
      <c r="I11" s="112"/>
    </row>
    <row r="12" spans="1:11" s="4" customFormat="1" ht="15.75" thickBot="1" x14ac:dyDescent="0.3">
      <c r="B12" s="118" t="s">
        <v>132</v>
      </c>
      <c r="C12" s="119">
        <f>SUM(C11:E11)</f>
        <v>111111.11111111109</v>
      </c>
      <c r="D12" s="120"/>
      <c r="E12" s="121"/>
      <c r="I12" s="112"/>
    </row>
    <row r="13" spans="1:11" s="8" customFormat="1" x14ac:dyDescent="0.25">
      <c r="A13" s="9"/>
      <c r="B13" s="122" t="s">
        <v>161</v>
      </c>
      <c r="C13" s="123">
        <f>C14/C12</f>
        <v>0.37112434847356673</v>
      </c>
      <c r="D13" s="124"/>
      <c r="E13" s="106"/>
      <c r="G13" s="9"/>
      <c r="H13" s="9"/>
      <c r="I13" s="9"/>
      <c r="J13" s="9"/>
      <c r="K13" s="9"/>
    </row>
    <row r="14" spans="1:11" ht="15.75" thickBot="1" x14ac:dyDescent="0.3">
      <c r="B14" s="113" t="s">
        <v>162</v>
      </c>
      <c r="C14" s="114">
        <f>C19*Parameter!C9</f>
        <v>41236.038719285185</v>
      </c>
      <c r="D14" s="115"/>
      <c r="E14" s="108"/>
      <c r="F14" s="3"/>
      <c r="K14" s="9"/>
    </row>
    <row r="15" spans="1:11" s="9" customFormat="1" x14ac:dyDescent="0.25">
      <c r="B15" s="23" t="s">
        <v>163</v>
      </c>
      <c r="C15" s="89">
        <f>IF(C20&gt;3,C16/C12,"-")</f>
        <v>0.28548026805658977</v>
      </c>
      <c r="D15" s="65"/>
      <c r="E15" s="24"/>
    </row>
    <row r="16" spans="1:11" s="9" customFormat="1" ht="15.75" thickBot="1" x14ac:dyDescent="0.3">
      <c r="B16" s="113" t="s">
        <v>164</v>
      </c>
      <c r="C16" s="114">
        <f>IF(C20&gt;3,C19*Parameter!D9,"-")</f>
        <v>31720.029784065526</v>
      </c>
      <c r="D16" s="115"/>
      <c r="E16" s="108"/>
    </row>
    <row r="17" spans="1:10" s="9" customFormat="1" x14ac:dyDescent="0.25">
      <c r="B17" s="116"/>
      <c r="C17" s="117"/>
      <c r="D17" s="117"/>
      <c r="E17" s="116"/>
    </row>
    <row r="18" spans="1:10" ht="15.75" thickBot="1" x14ac:dyDescent="0.3"/>
    <row r="19" spans="1:10" x14ac:dyDescent="0.25">
      <c r="B19" s="52" t="s">
        <v>30</v>
      </c>
      <c r="C19" s="53">
        <v>100</v>
      </c>
      <c r="D19" s="2"/>
    </row>
    <row r="20" spans="1:10" x14ac:dyDescent="0.25">
      <c r="B20" s="19" t="s">
        <v>77</v>
      </c>
      <c r="C20" s="20">
        <v>4</v>
      </c>
    </row>
    <row r="21" spans="1:10" s="8" customFormat="1" ht="30" x14ac:dyDescent="0.25">
      <c r="A21" s="9"/>
      <c r="B21" s="103" t="s">
        <v>152</v>
      </c>
      <c r="C21" s="48">
        <f>ROUND(C12/Parameter!B45,0)</f>
        <v>27</v>
      </c>
      <c r="F21" s="9"/>
      <c r="G21" s="9"/>
      <c r="H21" s="9"/>
      <c r="I21" s="9"/>
      <c r="J21" s="9"/>
    </row>
    <row r="22" spans="1:10" s="8" customFormat="1" x14ac:dyDescent="0.25">
      <c r="A22" s="9"/>
      <c r="B22" s="25"/>
      <c r="C22" s="26"/>
      <c r="F22" s="9"/>
      <c r="G22" s="9"/>
      <c r="H22" s="9"/>
      <c r="I22" s="9"/>
      <c r="J22" s="9"/>
    </row>
    <row r="23" spans="1:10" s="9" customFormat="1" ht="15.75" thickBot="1" x14ac:dyDescent="0.3">
      <c r="B23" s="55"/>
    </row>
    <row r="24" spans="1:10" s="9" customFormat="1" ht="15.75" thickBot="1" x14ac:dyDescent="0.3">
      <c r="B24" s="55"/>
      <c r="C24" s="109" t="s">
        <v>153</v>
      </c>
      <c r="D24" s="110" t="s">
        <v>158</v>
      </c>
    </row>
    <row r="25" spans="1:10" s="9" customFormat="1" x14ac:dyDescent="0.25">
      <c r="B25" s="104" t="s">
        <v>33</v>
      </c>
      <c r="C25" s="111" t="str">
        <f>ROUND(Parameter!B64/1000,1)&amp; " m3"</f>
        <v>12.5 m3</v>
      </c>
      <c r="D25" s="106" t="str">
        <f>ROUND(IF(AND(C13&gt;0.2,'Pre-evaluation'!C20&gt;3),2*C19,0),0)&amp; " m3"</f>
        <v>200 m3</v>
      </c>
    </row>
    <row r="26" spans="1:10" s="9" customFormat="1" ht="15.75" thickBot="1" x14ac:dyDescent="0.3">
      <c r="B26" s="105"/>
      <c r="C26" s="107" t="str">
        <f>ROUND(IF('Pre-evaluation'!C20=1,Parameter!C66,IF('Pre-evaluation'!C20=2,Parameter!C67,IF('Pre-evaluation'!C20=3,Parameter!C68,IF('Pre-evaluation'!C20=4,Parameter!C69,IF('Pre-evaluation'!C20=5,Parameter!C70,0))))),0)&amp; " €/m3"</f>
        <v>874 €/m3</v>
      </c>
      <c r="D26" s="108" t="str">
        <f>ROUND(IF(AND(C13&gt;Parameter!B119,'Pre-evaluation'!C20&gt;3),15630*(2*'Pre-evaluation'!C19)^-0.6156+25),0)&amp; " €/m3"</f>
        <v>624 €/m3</v>
      </c>
    </row>
    <row r="27" spans="1:10" s="9" customFormat="1" ht="15.75" thickBot="1" x14ac:dyDescent="0.3">
      <c r="B27" s="55"/>
      <c r="C27" s="56"/>
    </row>
    <row r="28" spans="1:10" s="9" customFormat="1" x14ac:dyDescent="0.25">
      <c r="B28" s="52" t="s">
        <v>97</v>
      </c>
      <c r="C28" s="58" t="s">
        <v>93</v>
      </c>
    </row>
    <row r="29" spans="1:10" s="9" customFormat="1" ht="15.75" thickBot="1" x14ac:dyDescent="0.3">
      <c r="B29" s="59" t="s">
        <v>99</v>
      </c>
      <c r="C29" s="60">
        <v>20</v>
      </c>
    </row>
    <row r="30" spans="1:10" s="9" customFormat="1" x14ac:dyDescent="0.25">
      <c r="B30" s="55"/>
      <c r="C30" s="55"/>
    </row>
    <row r="31" spans="1:10" s="9" customFormat="1" x14ac:dyDescent="0.25">
      <c r="B31" s="55"/>
      <c r="C31" s="55"/>
    </row>
    <row r="32" spans="1:10" s="9" customFormat="1" ht="15.75" thickBot="1" x14ac:dyDescent="0.3">
      <c r="B32" s="12"/>
      <c r="C32" s="12"/>
    </row>
    <row r="33" spans="1:11" s="9" customFormat="1" ht="15.75" thickBot="1" x14ac:dyDescent="0.3">
      <c r="A33" s="12"/>
      <c r="B33" s="16" t="s">
        <v>52</v>
      </c>
      <c r="C33" s="12"/>
    </row>
    <row r="34" spans="1:11" s="8" customFormat="1" ht="15.75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30" x14ac:dyDescent="0.25">
      <c r="A35" s="15"/>
      <c r="B35" s="13" t="s">
        <v>34</v>
      </c>
      <c r="C35" s="14" t="s">
        <v>35</v>
      </c>
      <c r="D35" s="140" t="s">
        <v>171</v>
      </c>
      <c r="E35" s="140" t="s">
        <v>172</v>
      </c>
      <c r="F35" s="14" t="s">
        <v>37</v>
      </c>
      <c r="G35" s="51" t="s">
        <v>72</v>
      </c>
      <c r="H35" s="51" t="s">
        <v>165</v>
      </c>
      <c r="I35" s="51" t="s">
        <v>86</v>
      </c>
      <c r="J35" s="51" t="s">
        <v>151</v>
      </c>
      <c r="K35" s="15"/>
    </row>
    <row r="36" spans="1:11" ht="123" customHeight="1" x14ac:dyDescent="0.25">
      <c r="A36" s="15"/>
      <c r="B36" s="126" t="str">
        <f>INDEX(Parameter!$A$32:$A$36,'Pre-evaluation'!C20)</f>
        <v>Solar block heating</v>
      </c>
      <c r="C36" s="127"/>
      <c r="D36" s="128" t="str">
        <f>"Diurnal storage volume "&amp;CHAR(10)&amp;C25</f>
        <v>Diurnal storage volume 
12.5 m3</v>
      </c>
      <c r="E36" s="128" t="str">
        <f>"Diurnal storage volume "&amp;CHAR(10)&amp;C26</f>
        <v>Diurnal storage volume 
874 €/m3</v>
      </c>
      <c r="F36" s="128" t="str">
        <f>"According to "   &amp; C4&amp; " heat density statistic, mean national length of the district heatings with similar demand is " &amp; C21&amp;"m"</f>
        <v>According to Switzerland  heat density statistic, mean national length of the district heatings with similar demand is 27m</v>
      </c>
      <c r="G36" s="127" t="str">
        <f>ROUND(IF(C19&lt;5000,794.6*C19^-0.305+450,598700*C19^-1.021+190),0)&amp;" €/m2"</f>
        <v>645 €/m2</v>
      </c>
      <c r="H36" s="129">
        <f>C13</f>
        <v>0.37112434847356673</v>
      </c>
      <c r="I36" s="130" t="str">
        <f>"The levelized cost for solar energy is "&amp;CHAR(10)&amp;Parameter!K82 &amp;" €/year. The cost of energy is "&amp;CHAR(10)&amp;Parameter!J82&amp;" €-ct/kWh "&amp;Parameter!N82</f>
        <v>The levelized cost for solar energy is 
3627 €/year. The cost of energy is 
8.8 €-ct/kWh +/- 21%</v>
      </c>
      <c r="J36" s="130" t="str">
        <f>"The avoided CO2 emission with the solar energy system is"&amp;CHAR(10)&amp;Parameter!D94&amp;" ton-CO2/year"</f>
        <v>The avoided CO2 emission with the solar energy system is
11 ton-CO2/year</v>
      </c>
      <c r="K36" s="15"/>
    </row>
    <row r="37" spans="1:11" s="9" customFormat="1" ht="6.75" customHeight="1" x14ac:dyDescent="0.25">
      <c r="A37" s="15"/>
      <c r="B37" s="134"/>
      <c r="C37" s="135"/>
      <c r="D37" s="136"/>
      <c r="E37" s="136"/>
      <c r="F37" s="136"/>
      <c r="G37" s="135"/>
      <c r="H37" s="137"/>
      <c r="I37" s="138"/>
      <c r="J37" s="138"/>
      <c r="K37" s="15"/>
    </row>
    <row r="38" spans="1:11" s="9" customFormat="1" ht="46.5" customHeight="1" x14ac:dyDescent="0.25">
      <c r="A38" s="15"/>
      <c r="B38" s="146" t="str">
        <f>IF(AND(C13&gt;Parameter!B119,'Pre-evaluation'!C20&gt;3),"To target a solar fraction higher than 20%, a seasonal storage could be an option.","-")</f>
        <v>To target a solar fraction higher than 20%, a seasonal storage could be an option.</v>
      </c>
      <c r="C38" s="147"/>
      <c r="D38" s="131" t="str">
        <f>IF(AND(C13&gt;Parameter!B119,'Pre-evaluation'!C20&gt;3),"Seasonal storage volume","-")</f>
        <v>Seasonal storage volume</v>
      </c>
      <c r="E38" s="131" t="str">
        <f>IF(AND(C13&gt;Parameter!B119,'Pre-evaluation'!C20&gt;3),"Seasonal storage cost for PTES ","-")</f>
        <v xml:space="preserve">Seasonal storage cost for PTES </v>
      </c>
      <c r="F38" s="33"/>
      <c r="G38" s="141" t="str">
        <f>IF(AND(C13&gt;Parameter!B119,'Pre-evaluation'!C20&gt;3),"Specific solar thermal system cost for Seasonal storage ","-")</f>
        <v xml:space="preserve">Specific solar thermal system cost for Seasonal storage </v>
      </c>
      <c r="H38" s="132" t="str">
        <f>IF(AND(C13&gt;Parameter!B119,'Pre-evaluation'!C20&gt;3),"Seasonal solar fraction","-")</f>
        <v>Seasonal solar fraction</v>
      </c>
      <c r="I38" s="133" t="str">
        <f>IF(AND(C13&gt;Parameter!B119,'Pre-evaluation'!C20&gt;3),"Energy cost - Seasonal","-")</f>
        <v>Energy cost - Seasonal</v>
      </c>
      <c r="J38" s="150"/>
      <c r="K38" s="15"/>
    </row>
    <row r="39" spans="1:11" s="9" customFormat="1" ht="90" x14ac:dyDescent="0.25">
      <c r="A39" s="15"/>
      <c r="B39" s="148"/>
      <c r="C39" s="149"/>
      <c r="D39" s="131" t="str">
        <f>IF(AND(C13&gt;Parameter!B119,'Pre-evaluation'!C20&gt;3),CHAR(10)&amp;D25,"-")</f>
        <v xml:space="preserve">
200 m3</v>
      </c>
      <c r="E39" s="131" t="str">
        <f>IF(AND(C13&gt;Parameter!B119,'Pre-evaluation'!C20&gt;3),CHAR(10)&amp;D26,"-")</f>
        <v xml:space="preserve">
624 €/m3</v>
      </c>
      <c r="F39"/>
      <c r="G39" s="131" t="str">
        <f>IF(AND(C13&gt;Parameter!B119,'Pre-evaluation'!C20&gt;3),ROUND(IF(C20=4,640,IF(C20=5,290,0)),0)&amp;" €/m2","-")</f>
        <v>640 €/m2</v>
      </c>
      <c r="H39" s="132">
        <f>IF(AND(C13&gt;Parameter!B119,'Pre-evaluation'!C20&gt;3),C15,"-")</f>
        <v>0.28548026805658977</v>
      </c>
      <c r="I39" s="133" t="str">
        <f>IF(AND(C13&gt;Parameter!B119,'Pre-evaluation'!C20&gt;3),"If seasonal storage is an option, the levelized cost for solar energy is "&amp;CHAR(10)&amp;Parameter!M82 &amp;" €/year. The cost of energy is "&amp;CHAR(10)&amp;Parameter!L82&amp;" €-ct/kWh "&amp;Parameter!O82,"-")</f>
        <v>If seasonal storage is an option, the levelized cost for solar energy is 
4200 €/year. The cost of energy is 
13.2 €-ct/kWh +/- 24%</v>
      </c>
      <c r="J39" s="151"/>
      <c r="K39" s="15"/>
    </row>
    <row r="40" spans="1:1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 t="s">
        <v>100</v>
      </c>
      <c r="K40" s="15"/>
    </row>
  </sheetData>
  <mergeCells count="3">
    <mergeCell ref="C3:E3"/>
    <mergeCell ref="B38:C39"/>
    <mergeCell ref="J38:J39"/>
  </mergeCells>
  <pageMargins left="0.7" right="0.7" top="0.75" bottom="0.75" header="0.3" footer="0.3"/>
  <pageSetup paperSize="9"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Parameter!$A$95:$A$98</xm:f>
          </x14:formula1>
          <xm:sqref>C28</xm:sqref>
        </x14:dataValidation>
        <x14:dataValidation type="list" allowBlank="1" showInputMessage="1" showErrorMessage="1" xr:uid="{00000000-0002-0000-0000-000001000000}">
          <x14:formula1>
            <xm:f>Parameter!$A$103:$A$115</xm:f>
          </x14:formula1>
          <xm:sqref>C7:E7</xm:sqref>
        </x14:dataValidation>
        <x14:dataValidation type="list" allowBlank="1" showInputMessage="1" showErrorMessage="1" xr:uid="{00000000-0002-0000-0000-000002000000}">
          <x14:formula1>
            <xm:f>Parameter!$A$46:$A$50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9"/>
  <sheetViews>
    <sheetView topLeftCell="A10" workbookViewId="0">
      <selection activeCell="D23" sqref="D23:E28"/>
    </sheetView>
  </sheetViews>
  <sheetFormatPr baseColWidth="10" defaultRowHeight="15" x14ac:dyDescent="0.25"/>
  <cols>
    <col min="1" max="1" width="36.7109375" customWidth="1"/>
    <col min="2" max="2" width="23.28515625" customWidth="1"/>
    <col min="3" max="3" width="19.5703125" customWidth="1"/>
    <col min="4" max="4" width="21.28515625" bestFit="1" customWidth="1"/>
    <col min="5" max="5" width="20.85546875" customWidth="1"/>
    <col min="6" max="6" width="17.5703125" customWidth="1"/>
    <col min="10" max="13" width="18.7109375" customWidth="1"/>
  </cols>
  <sheetData>
    <row r="1" spans="1:10" ht="15.75" thickBot="1" x14ac:dyDescent="0.3">
      <c r="A1" s="10" t="s">
        <v>136</v>
      </c>
      <c r="I1" t="s">
        <v>101</v>
      </c>
    </row>
    <row r="2" spans="1:10" s="1" customFormat="1" ht="30.75" thickBot="1" x14ac:dyDescent="0.3">
      <c r="A2" s="28" t="s">
        <v>34</v>
      </c>
      <c r="B2" s="90" t="s">
        <v>58</v>
      </c>
      <c r="C2" s="90"/>
      <c r="D2" s="1" t="s">
        <v>54</v>
      </c>
    </row>
    <row r="3" spans="1:10" x14ac:dyDescent="0.25">
      <c r="A3" s="29" t="s">
        <v>21</v>
      </c>
      <c r="B3" s="91">
        <f>50/3.6*D3</f>
        <v>13.888888888888889</v>
      </c>
      <c r="C3" s="91"/>
      <c r="D3">
        <v>1</v>
      </c>
    </row>
    <row r="4" spans="1:10" x14ac:dyDescent="0.25">
      <c r="A4" s="30" t="s">
        <v>116</v>
      </c>
      <c r="B4" s="92">
        <f>75/3.6*D4</f>
        <v>20.833333333333332</v>
      </c>
      <c r="C4" s="92"/>
      <c r="D4">
        <v>1</v>
      </c>
    </row>
    <row r="5" spans="1:10" ht="15.75" thickBot="1" x14ac:dyDescent="0.3">
      <c r="A5" s="31" t="s">
        <v>117</v>
      </c>
      <c r="B5" s="95">
        <f>75/3.6*D5</f>
        <v>20.833333333333332</v>
      </c>
      <c r="C5" s="92"/>
      <c r="D5">
        <v>1</v>
      </c>
    </row>
    <row r="6" spans="1:10" ht="15.75" thickBot="1" x14ac:dyDescent="0.3">
      <c r="A6" s="93"/>
      <c r="B6" s="94"/>
      <c r="C6" s="32"/>
    </row>
    <row r="8" spans="1:10" ht="30" x14ac:dyDescent="0.25">
      <c r="B8" t="s">
        <v>110</v>
      </c>
      <c r="C8" s="1" t="s">
        <v>159</v>
      </c>
      <c r="D8" s="1" t="s">
        <v>160</v>
      </c>
    </row>
    <row r="9" spans="1:10" ht="15.75" thickBot="1" x14ac:dyDescent="0.3">
      <c r="A9" s="10" t="s">
        <v>22</v>
      </c>
      <c r="B9">
        <f>IF('Pre-evaluation'!C20=1,Parameter!B11,IF('Pre-evaluation'!C20=2,Parameter!B12,IF('Pre-evaluation'!C20=3,Parameter!B13,IF('Pre-evaluation'!C20=4,Parameter!B14,IF('Pre-evaluation'!C20=5,Parameter!B16,0)))))</f>
        <v>390</v>
      </c>
      <c r="C9" s="62">
        <f>IF('Pre-evaluation'!C20=1,Parameter!C11,IF('Pre-evaluation'!C20=2,Parameter!C12,IF('Pre-evaluation'!C20=3,Parameter!C13,IF('Pre-evaluation'!C20=4,Parameter!C14,IF('Pre-evaluation'!C20=5,Parameter!C16,0)))))</f>
        <v>412.36038719285182</v>
      </c>
      <c r="D9">
        <f>IF('Pre-evaluation'!C20=4,Parameter!D15,IF('Pre-evaluation'!C20=5,Parameter!D17,"-"))</f>
        <v>317.20029784065525</v>
      </c>
      <c r="H9" s="10" t="s">
        <v>22</v>
      </c>
    </row>
    <row r="10" spans="1:10" ht="15.75" thickBot="1" x14ac:dyDescent="0.3">
      <c r="A10" s="45"/>
      <c r="B10" s="102" t="s">
        <v>22</v>
      </c>
      <c r="I10" t="s">
        <v>11</v>
      </c>
      <c r="J10" t="s">
        <v>12</v>
      </c>
    </row>
    <row r="11" spans="1:10" x14ac:dyDescent="0.25">
      <c r="A11" s="101" t="s">
        <v>23</v>
      </c>
      <c r="B11" s="41">
        <v>380</v>
      </c>
      <c r="C11" s="62">
        <f>B11*C$23</f>
        <v>401.78704393149667</v>
      </c>
      <c r="I11">
        <v>360</v>
      </c>
      <c r="J11">
        <v>430</v>
      </c>
    </row>
    <row r="12" spans="1:10" x14ac:dyDescent="0.25">
      <c r="A12" s="34" t="s">
        <v>24</v>
      </c>
      <c r="B12" s="35">
        <v>330</v>
      </c>
      <c r="C12" s="62">
        <f t="shared" ref="C12:C17" si="0">B12*C$23</f>
        <v>348.92032762472076</v>
      </c>
      <c r="I12">
        <v>300</v>
      </c>
      <c r="J12">
        <v>390</v>
      </c>
    </row>
    <row r="13" spans="1:10" x14ac:dyDescent="0.25">
      <c r="A13" s="34" t="s">
        <v>25</v>
      </c>
      <c r="B13" s="35">
        <v>400</v>
      </c>
      <c r="C13" s="62">
        <f t="shared" si="0"/>
        <v>422.93373045420697</v>
      </c>
      <c r="I13">
        <v>360</v>
      </c>
      <c r="J13">
        <v>400</v>
      </c>
    </row>
    <row r="14" spans="1:10" x14ac:dyDescent="0.25">
      <c r="A14" s="34" t="s">
        <v>73</v>
      </c>
      <c r="B14" s="35">
        <v>390</v>
      </c>
      <c r="C14" s="62">
        <f t="shared" si="0"/>
        <v>412.36038719285182</v>
      </c>
      <c r="I14">
        <v>350</v>
      </c>
      <c r="J14">
        <v>450</v>
      </c>
    </row>
    <row r="15" spans="1:10" x14ac:dyDescent="0.25">
      <c r="A15" s="34" t="s">
        <v>74</v>
      </c>
      <c r="B15" s="35">
        <v>300</v>
      </c>
      <c r="C15" s="62">
        <f t="shared" si="0"/>
        <v>317.20029784065525</v>
      </c>
      <c r="D15" s="62">
        <f>B15*C$23</f>
        <v>317.20029784065525</v>
      </c>
      <c r="I15">
        <v>270</v>
      </c>
      <c r="J15">
        <v>360</v>
      </c>
    </row>
    <row r="16" spans="1:10" x14ac:dyDescent="0.25">
      <c r="A16" s="34" t="s">
        <v>75</v>
      </c>
      <c r="B16" s="35">
        <v>410</v>
      </c>
      <c r="C16" s="62">
        <f t="shared" si="0"/>
        <v>433.50707371556217</v>
      </c>
      <c r="I16">
        <v>390</v>
      </c>
      <c r="J16">
        <v>450</v>
      </c>
    </row>
    <row r="17" spans="1:10" ht="15.75" thickBot="1" x14ac:dyDescent="0.3">
      <c r="A17" s="97" t="s">
        <v>76</v>
      </c>
      <c r="B17" s="38">
        <v>365</v>
      </c>
      <c r="C17" s="62">
        <f t="shared" si="0"/>
        <v>385.92702903946389</v>
      </c>
      <c r="D17" s="62">
        <f>B17*C$23</f>
        <v>385.92702903946389</v>
      </c>
      <c r="I17">
        <v>350</v>
      </c>
      <c r="J17">
        <v>390</v>
      </c>
    </row>
    <row r="18" spans="1:10" x14ac:dyDescent="0.25">
      <c r="A18" s="10"/>
    </row>
    <row r="19" spans="1:10" x14ac:dyDescent="0.25">
      <c r="A19" s="10"/>
    </row>
    <row r="20" spans="1:10" x14ac:dyDescent="0.25">
      <c r="A20" s="10"/>
    </row>
    <row r="21" spans="1:10" ht="18" x14ac:dyDescent="0.35">
      <c r="A21" s="10" t="s">
        <v>103</v>
      </c>
    </row>
    <row r="22" spans="1:10" ht="15.75" thickBot="1" x14ac:dyDescent="0.3">
      <c r="A22" s="81" t="s">
        <v>107</v>
      </c>
      <c r="C22" t="str">
        <f>'Pre-evaluation'!C4</f>
        <v xml:space="preserve">Switzerland </v>
      </c>
    </row>
    <row r="23" spans="1:10" ht="15.75" thickBot="1" x14ac:dyDescent="0.3">
      <c r="A23" s="10" t="s">
        <v>102</v>
      </c>
      <c r="B23" s="10">
        <v>1343</v>
      </c>
      <c r="C23" s="61">
        <f>VLOOKUP(C22,A24:C28,3)</f>
        <v>1.0573343261355175</v>
      </c>
      <c r="D23" s="99"/>
      <c r="E23" s="100" t="s">
        <v>150</v>
      </c>
    </row>
    <row r="24" spans="1:10" x14ac:dyDescent="0.25">
      <c r="A24" s="54" t="s">
        <v>44</v>
      </c>
      <c r="B24">
        <v>1300</v>
      </c>
      <c r="C24" s="61">
        <f>B24/B$23</f>
        <v>0.96798212956068508</v>
      </c>
      <c r="D24" s="98" t="s">
        <v>105</v>
      </c>
      <c r="E24" s="41">
        <v>1300</v>
      </c>
    </row>
    <row r="25" spans="1:10" x14ac:dyDescent="0.25">
      <c r="A25" s="54" t="s">
        <v>43</v>
      </c>
      <c r="B25">
        <v>1400</v>
      </c>
      <c r="C25" s="61">
        <f>B25/B$23</f>
        <v>1.0424422933730455</v>
      </c>
      <c r="D25" s="96" t="s">
        <v>108</v>
      </c>
      <c r="E25" s="35">
        <v>1400</v>
      </c>
    </row>
    <row r="26" spans="1:10" x14ac:dyDescent="0.25">
      <c r="A26" s="54" t="s">
        <v>53</v>
      </c>
      <c r="B26">
        <v>1300</v>
      </c>
      <c r="C26" s="61">
        <f>B26/B$23</f>
        <v>0.96798212956068508</v>
      </c>
      <c r="D26" s="96" t="s">
        <v>109</v>
      </c>
      <c r="E26" s="35">
        <v>1300</v>
      </c>
    </row>
    <row r="27" spans="1:10" x14ac:dyDescent="0.25">
      <c r="A27" s="54" t="s">
        <v>40</v>
      </c>
      <c r="B27">
        <v>1330</v>
      </c>
      <c r="C27" s="61">
        <f t="shared" ref="C27:C28" si="1">B27/B$23</f>
        <v>0.99032017870439315</v>
      </c>
      <c r="D27" s="96" t="s">
        <v>106</v>
      </c>
      <c r="E27" s="35">
        <v>1330</v>
      </c>
    </row>
    <row r="28" spans="1:10" ht="15.75" thickBot="1" x14ac:dyDescent="0.3">
      <c r="A28" s="54" t="s">
        <v>39</v>
      </c>
      <c r="B28">
        <v>1420</v>
      </c>
      <c r="C28" s="61">
        <f t="shared" si="1"/>
        <v>1.0573343261355175</v>
      </c>
      <c r="D28" s="97" t="s">
        <v>104</v>
      </c>
      <c r="E28" s="38">
        <v>1420</v>
      </c>
    </row>
    <row r="29" spans="1:10" x14ac:dyDescent="0.25">
      <c r="A29" s="10"/>
    </row>
    <row r="31" spans="1:10" x14ac:dyDescent="0.25">
      <c r="A31" s="10" t="s">
        <v>38</v>
      </c>
    </row>
    <row r="32" spans="1:10" ht="69" customHeight="1" x14ac:dyDescent="0.25">
      <c r="A32" s="2" t="s">
        <v>23</v>
      </c>
    </row>
    <row r="33" spans="1:4" ht="69" customHeight="1" x14ac:dyDescent="0.25">
      <c r="A33" s="5" t="s">
        <v>24</v>
      </c>
    </row>
    <row r="34" spans="1:4" ht="69" customHeight="1" x14ac:dyDescent="0.25">
      <c r="A34" t="s">
        <v>25</v>
      </c>
    </row>
    <row r="35" spans="1:4" ht="69" customHeight="1" x14ac:dyDescent="0.25">
      <c r="A35" s="6" t="s">
        <v>26</v>
      </c>
    </row>
    <row r="36" spans="1:4" ht="69" customHeight="1" x14ac:dyDescent="0.25">
      <c r="A36" t="s">
        <v>27</v>
      </c>
    </row>
    <row r="37" spans="1:4" ht="69" customHeight="1" x14ac:dyDescent="0.25"/>
    <row r="39" spans="1:4" x14ac:dyDescent="0.25">
      <c r="A39" s="10" t="s">
        <v>31</v>
      </c>
    </row>
    <row r="40" spans="1:4" x14ac:dyDescent="0.25">
      <c r="A40" t="s">
        <v>32</v>
      </c>
      <c r="B40" s="1" t="s">
        <v>36</v>
      </c>
    </row>
    <row r="43" spans="1:4" ht="15.75" thickBot="1" x14ac:dyDescent="0.3">
      <c r="A43" s="10" t="s">
        <v>45</v>
      </c>
    </row>
    <row r="44" spans="1:4" ht="30.75" thickBot="1" x14ac:dyDescent="0.3">
      <c r="A44" s="45" t="s">
        <v>50</v>
      </c>
      <c r="B44" s="46" t="s">
        <v>59</v>
      </c>
      <c r="C44" s="46" t="s">
        <v>55</v>
      </c>
      <c r="D44" s="47" t="s">
        <v>55</v>
      </c>
    </row>
    <row r="45" spans="1:4" ht="15.75" thickBot="1" x14ac:dyDescent="0.3">
      <c r="A45" s="42" t="str">
        <f>'Pre-evaluation'!C4</f>
        <v xml:space="preserve">Switzerland </v>
      </c>
      <c r="B45" s="43">
        <f>VLOOKUP(A45,A46:B50,2)</f>
        <v>4100</v>
      </c>
      <c r="C45" s="43">
        <f t="shared" ref="C45:C50" si="2">B45/B$52</f>
        <v>4100</v>
      </c>
      <c r="D45" s="44">
        <f t="shared" ref="D45:D50" si="3">B45/B$53</f>
        <v>4100</v>
      </c>
    </row>
    <row r="46" spans="1:4" x14ac:dyDescent="0.25">
      <c r="A46" s="39" t="s">
        <v>44</v>
      </c>
      <c r="B46" s="40">
        <v>4200</v>
      </c>
      <c r="C46" s="40">
        <f t="shared" si="2"/>
        <v>4200</v>
      </c>
      <c r="D46" s="41">
        <f t="shared" si="3"/>
        <v>4200</v>
      </c>
    </row>
    <row r="47" spans="1:4" x14ac:dyDescent="0.25">
      <c r="A47" s="34" t="s">
        <v>43</v>
      </c>
      <c r="B47" s="33">
        <v>7200</v>
      </c>
      <c r="C47" s="33">
        <f t="shared" si="2"/>
        <v>7200</v>
      </c>
      <c r="D47" s="35">
        <f t="shared" si="3"/>
        <v>7200</v>
      </c>
    </row>
    <row r="48" spans="1:4" x14ac:dyDescent="0.25">
      <c r="A48" s="34" t="s">
        <v>53</v>
      </c>
      <c r="B48" s="33">
        <v>4000</v>
      </c>
      <c r="C48" s="33">
        <f t="shared" si="2"/>
        <v>4000</v>
      </c>
      <c r="D48" s="35">
        <f t="shared" si="3"/>
        <v>4000</v>
      </c>
    </row>
    <row r="49" spans="1:11" x14ac:dyDescent="0.25">
      <c r="A49" s="34" t="s">
        <v>40</v>
      </c>
      <c r="B49" s="33">
        <v>2400</v>
      </c>
      <c r="C49" s="33">
        <f t="shared" si="2"/>
        <v>2400</v>
      </c>
      <c r="D49" s="35">
        <f t="shared" si="3"/>
        <v>2400</v>
      </c>
    </row>
    <row r="50" spans="1:11" ht="15.75" thickBot="1" x14ac:dyDescent="0.3">
      <c r="A50" s="36" t="s">
        <v>39</v>
      </c>
      <c r="B50" s="37">
        <v>4100</v>
      </c>
      <c r="C50" s="37">
        <f t="shared" si="2"/>
        <v>4100</v>
      </c>
      <c r="D50" s="38">
        <f t="shared" si="3"/>
        <v>4100</v>
      </c>
    </row>
    <row r="52" spans="1:11" x14ac:dyDescent="0.25">
      <c r="A52" t="s">
        <v>57</v>
      </c>
      <c r="B52">
        <v>1</v>
      </c>
    </row>
    <row r="53" spans="1:11" x14ac:dyDescent="0.25">
      <c r="A53" t="s">
        <v>46</v>
      </c>
      <c r="B53">
        <v>1</v>
      </c>
    </row>
    <row r="54" spans="1:11" x14ac:dyDescent="0.25">
      <c r="A54" t="s">
        <v>56</v>
      </c>
    </row>
    <row r="55" spans="1:11" x14ac:dyDescent="0.25">
      <c r="J55" s="142" t="s">
        <v>44</v>
      </c>
      <c r="K55" s="142" t="s">
        <v>44</v>
      </c>
    </row>
    <row r="56" spans="1:11" x14ac:dyDescent="0.25">
      <c r="J56" s="142" t="s">
        <v>43</v>
      </c>
      <c r="K56" s="142" t="s">
        <v>43</v>
      </c>
    </row>
    <row r="57" spans="1:11" x14ac:dyDescent="0.25">
      <c r="A57" s="10" t="s">
        <v>47</v>
      </c>
      <c r="J57" s="142" t="s">
        <v>53</v>
      </c>
      <c r="K57" s="142" t="s">
        <v>53</v>
      </c>
    </row>
    <row r="58" spans="1:11" x14ac:dyDescent="0.25">
      <c r="J58" s="142" t="s">
        <v>39</v>
      </c>
      <c r="K58" s="142" t="s">
        <v>111</v>
      </c>
    </row>
    <row r="59" spans="1:11" x14ac:dyDescent="0.25">
      <c r="A59" t="s">
        <v>48</v>
      </c>
      <c r="J59" s="142" t="s">
        <v>40</v>
      </c>
      <c r="K59" s="142" t="s">
        <v>40</v>
      </c>
    </row>
    <row r="60" spans="1:11" x14ac:dyDescent="0.25">
      <c r="A60" t="s">
        <v>49</v>
      </c>
    </row>
    <row r="62" spans="1:11" x14ac:dyDescent="0.25">
      <c r="J62" t="s">
        <v>41</v>
      </c>
      <c r="K62" t="s">
        <v>113</v>
      </c>
    </row>
    <row r="63" spans="1:11" x14ac:dyDescent="0.25">
      <c r="A63" s="10" t="s">
        <v>154</v>
      </c>
      <c r="B63" t="s">
        <v>67</v>
      </c>
      <c r="C63" t="s">
        <v>68</v>
      </c>
      <c r="J63" t="s">
        <v>42</v>
      </c>
      <c r="K63" t="s">
        <v>114</v>
      </c>
    </row>
    <row r="64" spans="1:11" x14ac:dyDescent="0.25">
      <c r="B64" s="49">
        <f>ROUND(IF('Pre-evaluation'!C20=1,B66*'Pre-evaluation'!C19,IF('Pre-evaluation'!C20=2,B67*'Pre-evaluation'!C19,IF('Pre-evaluation'!C20=3,B68*'Pre-evaluation'!C19,IF('Pre-evaluation'!C20=4,B69*'Pre-evaluation'!C19,IF('Pre-evaluation'!C20=5,B70*'Pre-evaluation'!C19,0))))),0)</f>
        <v>12500</v>
      </c>
      <c r="K64" t="s">
        <v>112</v>
      </c>
    </row>
    <row r="65" spans="1:8" x14ac:dyDescent="0.25">
      <c r="B65" t="s">
        <v>65</v>
      </c>
      <c r="C65" t="s">
        <v>66</v>
      </c>
    </row>
    <row r="66" spans="1:8" x14ac:dyDescent="0.25">
      <c r="A66" t="s">
        <v>60</v>
      </c>
      <c r="B66">
        <v>65</v>
      </c>
      <c r="C66" s="62">
        <f>(114.5*(B64/1000)^(-1.441))+1250</f>
        <v>1253.0071712310921</v>
      </c>
      <c r="D66" s="50" t="s">
        <v>69</v>
      </c>
    </row>
    <row r="67" spans="1:8" x14ac:dyDescent="0.25">
      <c r="A67" t="s">
        <v>61</v>
      </c>
      <c r="B67">
        <v>85</v>
      </c>
      <c r="C67" s="62">
        <f>403.5*(B64/1000)^-0.4676+750</f>
        <v>873.85924174645595</v>
      </c>
      <c r="D67" s="152" t="s">
        <v>70</v>
      </c>
      <c r="E67" s="152"/>
    </row>
    <row r="68" spans="1:8" x14ac:dyDescent="0.25">
      <c r="A68" t="s">
        <v>62</v>
      </c>
      <c r="B68">
        <v>85</v>
      </c>
      <c r="C68" s="62">
        <f>403.5*(B64/1000)^-0.4676+750</f>
        <v>873.85924174645595</v>
      </c>
      <c r="D68" s="152"/>
      <c r="E68" s="152"/>
    </row>
    <row r="69" spans="1:8" x14ac:dyDescent="0.25">
      <c r="A69" t="s">
        <v>63</v>
      </c>
      <c r="B69">
        <v>125</v>
      </c>
      <c r="C69" s="62">
        <f>403.5*(B64/1000)^-0.4676+750</f>
        <v>873.85924174645595</v>
      </c>
      <c r="D69" s="152"/>
      <c r="E69" s="152"/>
    </row>
    <row r="70" spans="1:8" x14ac:dyDescent="0.25">
      <c r="A70" t="s">
        <v>64</v>
      </c>
      <c r="B70">
        <v>125</v>
      </c>
      <c r="C70" s="62">
        <f>11680*(B64/1000)^-0.5545+130</f>
        <v>3008.765176747811</v>
      </c>
      <c r="D70" s="153" t="s">
        <v>71</v>
      </c>
      <c r="E70" s="153"/>
    </row>
    <row r="73" spans="1:8" x14ac:dyDescent="0.25">
      <c r="A73" s="10" t="s">
        <v>155</v>
      </c>
      <c r="B73" t="s">
        <v>67</v>
      </c>
      <c r="C73" t="s">
        <v>68</v>
      </c>
    </row>
    <row r="75" spans="1:8" x14ac:dyDescent="0.25">
      <c r="B75" t="s">
        <v>65</v>
      </c>
      <c r="C75" t="s">
        <v>66</v>
      </c>
    </row>
    <row r="76" spans="1:8" x14ac:dyDescent="0.25">
      <c r="A76" t="s">
        <v>156</v>
      </c>
    </row>
    <row r="77" spans="1:8" x14ac:dyDescent="0.25">
      <c r="A77" t="s">
        <v>156</v>
      </c>
    </row>
    <row r="78" spans="1:8" x14ac:dyDescent="0.25">
      <c r="A78" t="s">
        <v>157</v>
      </c>
    </row>
    <row r="80" spans="1:8" x14ac:dyDescent="0.25">
      <c r="H80" t="s">
        <v>166</v>
      </c>
    </row>
    <row r="81" spans="1:15" x14ac:dyDescent="0.25">
      <c r="A81" s="10" t="s">
        <v>78</v>
      </c>
      <c r="C81" t="s">
        <v>168</v>
      </c>
      <c r="D81" t="s">
        <v>169</v>
      </c>
      <c r="E81" t="s">
        <v>87</v>
      </c>
      <c r="F81" t="s">
        <v>170</v>
      </c>
      <c r="G81" s="139" t="s">
        <v>167</v>
      </c>
      <c r="H81">
        <f>1/C23</f>
        <v>0.94577464788732402</v>
      </c>
      <c r="I81" s="139" t="s">
        <v>167</v>
      </c>
      <c r="J81" t="str">
        <f>C81</f>
        <v>Diurnal [€-ct/kWh]</v>
      </c>
      <c r="K81" t="str">
        <f t="shared" ref="K81:M81" si="4">D81</f>
        <v>Diurnal [€/year]</v>
      </c>
      <c r="L81" t="str">
        <f t="shared" si="4"/>
        <v>Seasonal [€-ct/kWh]</v>
      </c>
      <c r="M81" t="str">
        <f t="shared" si="4"/>
        <v>Seasonal [€/year]</v>
      </c>
      <c r="N81" t="s">
        <v>173</v>
      </c>
      <c r="O81" t="s">
        <v>174</v>
      </c>
    </row>
    <row r="82" spans="1:15" x14ac:dyDescent="0.25">
      <c r="C82">
        <f>IF('Pre-evaluation'!C20=1,Parameter!C84,IF('Pre-evaluation'!C20=2,Parameter!C85,IF('Pre-evaluation'!C20=3,Parameter!C86,IF('Pre-evaluation'!C20=4,Parameter!C87,IF('Pre-evaluation'!C20=5,Parameter!C89,"")))))</f>
        <v>9.3000000000000007</v>
      </c>
      <c r="D82" s="62">
        <f>ROUND(C82*'Pre-evaluation'!C14/100,1)</f>
        <v>3835</v>
      </c>
      <c r="E82">
        <f>IF('Pre-evaluation'!C20=4,Parameter!E88,IF('Pre-evaluation'!C20=5,Parameter!E90,""))</f>
        <v>14</v>
      </c>
      <c r="F82">
        <f>ROUND(E82*'Pre-evaluation'!C16/100,1)</f>
        <v>4440.8</v>
      </c>
      <c r="J82" s="62">
        <f>ROUND(C82*$H$81,1)</f>
        <v>8.8000000000000007</v>
      </c>
      <c r="K82" s="62">
        <f>ROUND(D82*$H$81,1)</f>
        <v>3627</v>
      </c>
      <c r="L82" s="62">
        <f>ROUND(E82*$H$81,1)</f>
        <v>13.2</v>
      </c>
      <c r="M82" s="62">
        <f>ROUND(F82*$H$81,1)</f>
        <v>4200</v>
      </c>
      <c r="N82" s="62" t="str">
        <f>IF('Pre-evaluation'!C20=1,Parameter!N84,IF('Pre-evaluation'!C20=2,Parameter!N85,IF('Pre-evaluation'!C20=3,Parameter!N86,IF('Pre-evaluation'!C20=4,Parameter!N87,IF('Pre-evaluation'!C20=5,Parameter!N89,"")))))</f>
        <v>+/- 21%</v>
      </c>
      <c r="O82" s="62" t="str">
        <f>IF('Pre-evaluation'!C20=4,Parameter!O88,IF('Pre-evaluation'!C20=5,Parameter!O90,""))</f>
        <v>+/- 24%</v>
      </c>
    </row>
    <row r="84" spans="1:15" x14ac:dyDescent="0.25">
      <c r="A84" s="2" t="s">
        <v>23</v>
      </c>
      <c r="B84" t="s">
        <v>79</v>
      </c>
      <c r="C84">
        <f>ROUND((14.3+18.1)/2,1)</f>
        <v>16.2</v>
      </c>
      <c r="D84" s="57"/>
      <c r="N84" t="str">
        <f>"+/- 12%"</f>
        <v>+/- 12%</v>
      </c>
    </row>
    <row r="85" spans="1:15" x14ac:dyDescent="0.25">
      <c r="A85" t="s">
        <v>24</v>
      </c>
      <c r="B85" t="s">
        <v>80</v>
      </c>
      <c r="C85">
        <f>ROUND((13.7+17.4)/2,1)</f>
        <v>15.6</v>
      </c>
      <c r="N85" t="str">
        <f t="shared" ref="N85" si="5">"+/- 12%"</f>
        <v>+/- 12%</v>
      </c>
    </row>
    <row r="86" spans="1:15" x14ac:dyDescent="0.25">
      <c r="A86" t="s">
        <v>25</v>
      </c>
      <c r="B86" t="s">
        <v>81</v>
      </c>
      <c r="C86">
        <f>ROUND((8.9+13.4)/2,1)</f>
        <v>11.2</v>
      </c>
      <c r="N86" t="str">
        <f>"+/- 20%"</f>
        <v>+/- 20%</v>
      </c>
    </row>
    <row r="87" spans="1:15" x14ac:dyDescent="0.25">
      <c r="A87" t="s">
        <v>73</v>
      </c>
      <c r="B87" t="s">
        <v>82</v>
      </c>
      <c r="C87">
        <f>ROUND((7.3+11.2)/2,1)</f>
        <v>9.3000000000000007</v>
      </c>
      <c r="N87" t="str">
        <f>"+/- 21%"</f>
        <v>+/- 21%</v>
      </c>
    </row>
    <row r="88" spans="1:15" x14ac:dyDescent="0.25">
      <c r="A88" t="s">
        <v>74</v>
      </c>
      <c r="B88" t="s">
        <v>83</v>
      </c>
      <c r="E88">
        <f>ROUND((10.6+17.4)/2,1)</f>
        <v>14</v>
      </c>
      <c r="O88" t="str">
        <f>"+/- 24%"</f>
        <v>+/- 24%</v>
      </c>
    </row>
    <row r="89" spans="1:15" x14ac:dyDescent="0.25">
      <c r="A89" t="s">
        <v>75</v>
      </c>
      <c r="B89" t="s">
        <v>84</v>
      </c>
      <c r="C89">
        <f>ROUND((3.7+4.6)/2,1)</f>
        <v>4.2</v>
      </c>
      <c r="N89" t="str">
        <f>"+/- 11%"</f>
        <v>+/- 11%</v>
      </c>
    </row>
    <row r="90" spans="1:15" x14ac:dyDescent="0.25">
      <c r="A90" s="54" t="s">
        <v>76</v>
      </c>
      <c r="B90" t="s">
        <v>85</v>
      </c>
      <c r="E90">
        <f>ROUND((4.7+6.3)/2,1)</f>
        <v>5.5</v>
      </c>
      <c r="O90" t="str">
        <f>"+/- 14%"</f>
        <v>+/- 14%</v>
      </c>
    </row>
    <row r="93" spans="1:15" x14ac:dyDescent="0.25">
      <c r="A93" t="s">
        <v>90</v>
      </c>
      <c r="B93" t="s">
        <v>95</v>
      </c>
      <c r="C93" t="s">
        <v>96</v>
      </c>
      <c r="D93" t="s">
        <v>98</v>
      </c>
    </row>
    <row r="94" spans="1:15" x14ac:dyDescent="0.25">
      <c r="D94" s="49">
        <f>ROUND(IF('Pre-evaluation'!C28=Parameter!A95,Parameter!D95,IF('Pre-evaluation'!C28=Parameter!A96,Parameter!D96,IF('Pre-evaluation'!C28=Parameter!A97,Parameter!D97,IF('Pre-evaluation'!C28=Parameter!A98,Parameter!D98,0)))),0)</f>
        <v>11</v>
      </c>
    </row>
    <row r="95" spans="1:15" x14ac:dyDescent="0.25">
      <c r="A95" t="s">
        <v>92</v>
      </c>
      <c r="B95">
        <v>77</v>
      </c>
      <c r="C95">
        <f>B95*3.6/1000000</f>
        <v>2.7719999999999996E-4</v>
      </c>
      <c r="D95" s="57">
        <f>'Pre-evaluation'!C$14*(100-'Pre-evaluation'!C$29)/100*C95</f>
        <v>9.1445039463886815</v>
      </c>
    </row>
    <row r="96" spans="1:15" x14ac:dyDescent="0.25">
      <c r="A96" t="s">
        <v>91</v>
      </c>
      <c r="B96">
        <v>56.4</v>
      </c>
      <c r="C96">
        <f t="shared" ref="C96:C98" si="6">B96*3.6/1000000</f>
        <v>2.0303999999999998E-4</v>
      </c>
      <c r="D96" s="57">
        <f>'Pre-evaluation'!C$14*(100-'Pre-evaluation'!C$29)/100*C96</f>
        <v>6.6980522412509309</v>
      </c>
    </row>
    <row r="97" spans="1:4" x14ac:dyDescent="0.25">
      <c r="A97" t="s">
        <v>93</v>
      </c>
      <c r="B97">
        <v>91.4</v>
      </c>
      <c r="C97">
        <f t="shared" si="6"/>
        <v>3.2904000000000001E-4</v>
      </c>
      <c r="D97" s="57">
        <f>'Pre-evaluation'!C$14*(100-'Pre-evaluation'!C$29)/100*C97</f>
        <v>10.854644944154879</v>
      </c>
    </row>
    <row r="98" spans="1:4" x14ac:dyDescent="0.25">
      <c r="A98" t="s">
        <v>94</v>
      </c>
      <c r="B98">
        <v>96.1</v>
      </c>
      <c r="C98">
        <f t="shared" si="6"/>
        <v>3.4595999999999997E-4</v>
      </c>
      <c r="D98" s="57">
        <f>'Pre-evaluation'!C$14*(100-'Pre-evaluation'!C$29)/100*C98</f>
        <v>11.412815964259122</v>
      </c>
    </row>
    <row r="101" spans="1:4" x14ac:dyDescent="0.25">
      <c r="A101" s="10" t="s">
        <v>119</v>
      </c>
    </row>
    <row r="103" spans="1:4" x14ac:dyDescent="0.25">
      <c r="A103" t="s">
        <v>120</v>
      </c>
    </row>
    <row r="104" spans="1:4" x14ac:dyDescent="0.25">
      <c r="A104" t="s">
        <v>121</v>
      </c>
    </row>
    <row r="105" spans="1:4" x14ac:dyDescent="0.25">
      <c r="A105" t="s">
        <v>122</v>
      </c>
    </row>
    <row r="106" spans="1:4" x14ac:dyDescent="0.25">
      <c r="A106" t="s">
        <v>123</v>
      </c>
    </row>
    <row r="107" spans="1:4" x14ac:dyDescent="0.25">
      <c r="A107" t="s">
        <v>142</v>
      </c>
    </row>
    <row r="108" spans="1:4" x14ac:dyDescent="0.25">
      <c r="A108" t="s">
        <v>124</v>
      </c>
    </row>
    <row r="109" spans="1:4" x14ac:dyDescent="0.25">
      <c r="A109" t="s">
        <v>125</v>
      </c>
    </row>
    <row r="110" spans="1:4" x14ac:dyDescent="0.25">
      <c r="A110" t="s">
        <v>126</v>
      </c>
    </row>
    <row r="111" spans="1:4" x14ac:dyDescent="0.25">
      <c r="A111" t="s">
        <v>127</v>
      </c>
    </row>
    <row r="112" spans="1:4" x14ac:dyDescent="0.25">
      <c r="A112" t="s">
        <v>128</v>
      </c>
    </row>
    <row r="113" spans="1:2" x14ac:dyDescent="0.25">
      <c r="A113" t="s">
        <v>129</v>
      </c>
    </row>
    <row r="114" spans="1:2" x14ac:dyDescent="0.25">
      <c r="A114" t="s">
        <v>140</v>
      </c>
    </row>
    <row r="115" spans="1:2" x14ac:dyDescent="0.25">
      <c r="A115" t="s">
        <v>141</v>
      </c>
    </row>
    <row r="118" spans="1:2" x14ac:dyDescent="0.25">
      <c r="A118" s="10" t="s">
        <v>149</v>
      </c>
    </row>
    <row r="119" spans="1:2" x14ac:dyDescent="0.25">
      <c r="A119" t="s">
        <v>6</v>
      </c>
      <c r="B119" s="125">
        <v>0.2</v>
      </c>
    </row>
  </sheetData>
  <sheetProtection password="A398" sheet="1" objects="1" scenarios="1"/>
  <sortState ref="A49:D54">
    <sortCondition ref="A48"/>
  </sortState>
  <mergeCells count="2">
    <mergeCell ref="D67:E69"/>
    <mergeCell ref="D70:E70"/>
  </mergeCells>
  <hyperlinks>
    <hyperlink ref="A22" r:id="rId1" location="CH" xr:uid="{00000000-0004-0000-0100-000000000000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workbookViewId="0">
      <selection activeCell="E26" sqref="E26"/>
    </sheetView>
  </sheetViews>
  <sheetFormatPr baseColWidth="10" defaultRowHeight="15" x14ac:dyDescent="0.25"/>
  <cols>
    <col min="1" max="1" width="28" customWidth="1"/>
    <col min="2" max="2" width="13.140625" customWidth="1"/>
  </cols>
  <sheetData>
    <row r="1" spans="1:15" x14ac:dyDescent="0.25">
      <c r="B1" s="155" t="s">
        <v>10</v>
      </c>
      <c r="C1" s="155"/>
      <c r="D1" s="157" t="s">
        <v>13</v>
      </c>
      <c r="E1" s="157"/>
      <c r="F1" s="156" t="s">
        <v>14</v>
      </c>
      <c r="G1" s="156"/>
      <c r="H1" s="156" t="s">
        <v>15</v>
      </c>
      <c r="I1" s="156"/>
      <c r="J1" s="156" t="s">
        <v>16</v>
      </c>
      <c r="K1" s="156"/>
      <c r="L1" s="156" t="s">
        <v>17</v>
      </c>
      <c r="M1" s="156"/>
      <c r="N1" s="156" t="s">
        <v>18</v>
      </c>
      <c r="O1" s="156"/>
    </row>
    <row r="2" spans="1:15" x14ac:dyDescent="0.25">
      <c r="B2" t="s">
        <v>11</v>
      </c>
      <c r="C2" t="s">
        <v>12</v>
      </c>
      <c r="D2" t="s">
        <v>11</v>
      </c>
      <c r="E2" t="s">
        <v>12</v>
      </c>
      <c r="F2" t="s">
        <v>11</v>
      </c>
      <c r="G2" t="s">
        <v>12</v>
      </c>
      <c r="H2" t="s">
        <v>11</v>
      </c>
      <c r="I2" t="s">
        <v>12</v>
      </c>
      <c r="J2" t="s">
        <v>11</v>
      </c>
      <c r="K2" t="s">
        <v>12</v>
      </c>
      <c r="L2" t="s">
        <v>11</v>
      </c>
      <c r="M2" t="s">
        <v>12</v>
      </c>
      <c r="N2" t="s">
        <v>11</v>
      </c>
      <c r="O2" t="s">
        <v>12</v>
      </c>
    </row>
    <row r="3" spans="1:15" x14ac:dyDescent="0.25">
      <c r="A3" s="7" t="s">
        <v>28</v>
      </c>
      <c r="B3" s="154">
        <v>1</v>
      </c>
      <c r="C3" s="154"/>
      <c r="D3" s="154">
        <v>2</v>
      </c>
      <c r="E3" s="154"/>
      <c r="F3" s="154">
        <v>3</v>
      </c>
      <c r="G3" s="154"/>
      <c r="H3" s="154">
        <v>4</v>
      </c>
      <c r="I3" s="154"/>
      <c r="J3" s="154"/>
      <c r="K3" s="154"/>
      <c r="L3" s="154">
        <v>5</v>
      </c>
      <c r="M3" s="154"/>
      <c r="N3" s="154"/>
      <c r="O3" s="154"/>
    </row>
    <row r="4" spans="1:15" x14ac:dyDescent="0.25">
      <c r="A4" s="7" t="s">
        <v>29</v>
      </c>
      <c r="B4" s="7">
        <v>0</v>
      </c>
      <c r="C4" s="7">
        <v>10</v>
      </c>
      <c r="D4" s="7">
        <v>10</v>
      </c>
      <c r="E4" s="7">
        <v>30</v>
      </c>
      <c r="F4" s="7">
        <v>30</v>
      </c>
      <c r="G4" s="7">
        <v>300</v>
      </c>
      <c r="H4" s="7">
        <v>300</v>
      </c>
      <c r="I4" s="7">
        <v>5000</v>
      </c>
      <c r="J4" s="7">
        <v>1000</v>
      </c>
      <c r="K4" s="7">
        <v>10000</v>
      </c>
      <c r="L4" s="7">
        <v>5000</v>
      </c>
      <c r="M4" s="7">
        <v>200000</v>
      </c>
      <c r="N4" s="7">
        <v>20000</v>
      </c>
      <c r="O4" s="7">
        <v>200000</v>
      </c>
    </row>
    <row r="5" spans="1:15" x14ac:dyDescent="0.25">
      <c r="A5" t="s">
        <v>1</v>
      </c>
      <c r="B5">
        <v>5</v>
      </c>
      <c r="C5">
        <v>10</v>
      </c>
      <c r="D5">
        <v>12</v>
      </c>
      <c r="E5">
        <v>24</v>
      </c>
      <c r="F5">
        <v>30</v>
      </c>
      <c r="G5">
        <v>300</v>
      </c>
      <c r="H5">
        <v>500</v>
      </c>
      <c r="I5">
        <v>5000</v>
      </c>
      <c r="J5">
        <v>1000</v>
      </c>
      <c r="K5">
        <v>10000</v>
      </c>
      <c r="L5">
        <v>5000</v>
      </c>
      <c r="M5">
        <v>20000</v>
      </c>
      <c r="N5">
        <v>20000</v>
      </c>
      <c r="O5">
        <v>200000</v>
      </c>
    </row>
    <row r="6" spans="1:15" x14ac:dyDescent="0.25">
      <c r="A6" t="s">
        <v>2</v>
      </c>
      <c r="B6">
        <v>4</v>
      </c>
      <c r="C6">
        <v>7</v>
      </c>
      <c r="D6">
        <v>8</v>
      </c>
      <c r="E6">
        <v>17</v>
      </c>
      <c r="F6">
        <v>21</v>
      </c>
      <c r="G6">
        <v>210</v>
      </c>
      <c r="H6">
        <v>350</v>
      </c>
      <c r="I6">
        <v>3500</v>
      </c>
      <c r="J6">
        <v>700</v>
      </c>
      <c r="K6">
        <v>7000</v>
      </c>
      <c r="L6">
        <v>3500</v>
      </c>
      <c r="M6">
        <v>14000</v>
      </c>
      <c r="N6">
        <v>14000</v>
      </c>
      <c r="O6">
        <v>140000</v>
      </c>
    </row>
    <row r="7" spans="1:15" x14ac:dyDescent="0.25">
      <c r="A7" t="s">
        <v>20</v>
      </c>
      <c r="B7">
        <v>400</v>
      </c>
      <c r="C7">
        <v>400</v>
      </c>
      <c r="D7">
        <v>1500</v>
      </c>
      <c r="E7">
        <v>1500</v>
      </c>
      <c r="F7">
        <v>9000</v>
      </c>
      <c r="G7">
        <v>9000</v>
      </c>
      <c r="H7">
        <v>100</v>
      </c>
      <c r="I7">
        <v>100</v>
      </c>
      <c r="J7">
        <v>12000</v>
      </c>
      <c r="K7">
        <v>12000</v>
      </c>
      <c r="L7">
        <v>1200</v>
      </c>
      <c r="M7">
        <v>1200</v>
      </c>
      <c r="N7">
        <v>125000</v>
      </c>
      <c r="O7">
        <v>125000</v>
      </c>
    </row>
    <row r="8" spans="1:15" x14ac:dyDescent="0.25">
      <c r="A8" t="s">
        <v>3</v>
      </c>
      <c r="B8">
        <v>2625</v>
      </c>
      <c r="C8">
        <v>26525</v>
      </c>
      <c r="D8">
        <v>5940</v>
      </c>
      <c r="E8">
        <v>5940</v>
      </c>
      <c r="F8">
        <v>39500</v>
      </c>
      <c r="G8">
        <v>39500</v>
      </c>
      <c r="H8">
        <v>390000</v>
      </c>
      <c r="I8">
        <v>390000</v>
      </c>
      <c r="J8">
        <v>1500000</v>
      </c>
      <c r="K8">
        <v>1500000</v>
      </c>
      <c r="L8">
        <v>4100000</v>
      </c>
      <c r="M8">
        <v>4100000</v>
      </c>
      <c r="N8">
        <v>17500000</v>
      </c>
      <c r="O8">
        <v>17500000</v>
      </c>
    </row>
    <row r="9" spans="1:15" x14ac:dyDescent="0.25">
      <c r="A9" t="s">
        <v>4</v>
      </c>
      <c r="B9">
        <v>50</v>
      </c>
      <c r="C9">
        <v>80</v>
      </c>
      <c r="D9">
        <v>60</v>
      </c>
      <c r="E9">
        <v>110</v>
      </c>
      <c r="F9">
        <v>70</v>
      </c>
      <c r="G9">
        <v>120</v>
      </c>
      <c r="H9">
        <v>75</v>
      </c>
      <c r="I9">
        <v>125</v>
      </c>
      <c r="J9">
        <v>1700</v>
      </c>
      <c r="K9">
        <v>3400</v>
      </c>
      <c r="L9">
        <v>90</v>
      </c>
      <c r="M9">
        <v>150</v>
      </c>
      <c r="N9">
        <v>1500</v>
      </c>
      <c r="O9">
        <v>3500</v>
      </c>
    </row>
    <row r="10" spans="1:15" x14ac:dyDescent="0.25">
      <c r="A10" t="s">
        <v>5</v>
      </c>
      <c r="B10">
        <v>330</v>
      </c>
      <c r="C10">
        <v>430</v>
      </c>
      <c r="D10">
        <v>310</v>
      </c>
      <c r="E10">
        <v>350</v>
      </c>
      <c r="F10">
        <v>350</v>
      </c>
      <c r="G10">
        <v>450</v>
      </c>
      <c r="H10">
        <v>350</v>
      </c>
      <c r="I10">
        <v>450</v>
      </c>
      <c r="J10">
        <v>260</v>
      </c>
      <c r="K10">
        <v>340</v>
      </c>
      <c r="L10">
        <v>380</v>
      </c>
      <c r="M10">
        <v>460</v>
      </c>
      <c r="N10">
        <v>340</v>
      </c>
      <c r="O10">
        <v>390</v>
      </c>
    </row>
    <row r="11" spans="1:15" x14ac:dyDescent="0.25">
      <c r="A11" t="s">
        <v>6</v>
      </c>
      <c r="B11">
        <v>60</v>
      </c>
      <c r="C11">
        <v>75</v>
      </c>
      <c r="D11">
        <v>15</v>
      </c>
      <c r="E11">
        <v>40</v>
      </c>
      <c r="F11">
        <v>10</v>
      </c>
      <c r="G11">
        <v>25</v>
      </c>
      <c r="H11">
        <v>10</v>
      </c>
      <c r="I11">
        <v>25</v>
      </c>
      <c r="J11">
        <v>40</v>
      </c>
      <c r="K11">
        <v>75</v>
      </c>
      <c r="L11">
        <v>5</v>
      </c>
      <c r="M11">
        <v>20</v>
      </c>
      <c r="N11">
        <v>40</v>
      </c>
      <c r="O11">
        <v>60</v>
      </c>
    </row>
    <row r="12" spans="1:15" x14ac:dyDescent="0.25">
      <c r="A12" t="s">
        <v>7</v>
      </c>
      <c r="B12">
        <v>0.81</v>
      </c>
      <c r="C12">
        <v>1.05</v>
      </c>
      <c r="D12">
        <v>0.67</v>
      </c>
      <c r="E12">
        <v>0.86</v>
      </c>
      <c r="F12">
        <v>0.52</v>
      </c>
      <c r="G12">
        <v>0.8</v>
      </c>
      <c r="H12">
        <v>0.42</v>
      </c>
      <c r="I12">
        <v>0.66</v>
      </c>
      <c r="J12">
        <v>0.48</v>
      </c>
      <c r="K12">
        <v>0.8</v>
      </c>
      <c r="L12">
        <v>0.21</v>
      </c>
      <c r="M12">
        <v>0.27</v>
      </c>
      <c r="N12">
        <v>0.25</v>
      </c>
      <c r="O12">
        <v>0.33</v>
      </c>
    </row>
    <row r="13" spans="1:15" x14ac:dyDescent="0.25">
      <c r="A13" t="s">
        <v>8</v>
      </c>
      <c r="B13">
        <v>0.66</v>
      </c>
      <c r="C13">
        <v>0.74</v>
      </c>
      <c r="D13">
        <v>0.56999999999999995</v>
      </c>
      <c r="E13">
        <v>0.66</v>
      </c>
      <c r="F13">
        <v>0.44</v>
      </c>
      <c r="G13">
        <v>0.66</v>
      </c>
      <c r="H13">
        <v>0.37</v>
      </c>
      <c r="I13">
        <v>0.56999999999999995</v>
      </c>
      <c r="J13">
        <v>0.4</v>
      </c>
      <c r="K13">
        <v>0.67</v>
      </c>
      <c r="L13">
        <v>0.19</v>
      </c>
      <c r="M13">
        <v>0.25</v>
      </c>
      <c r="N13">
        <v>0.23</v>
      </c>
      <c r="O13">
        <v>0.31</v>
      </c>
    </row>
    <row r="14" spans="1:15" x14ac:dyDescent="0.25">
      <c r="A14" t="s">
        <v>9</v>
      </c>
      <c r="B14">
        <v>14.3</v>
      </c>
      <c r="C14">
        <v>18.100000000000001</v>
      </c>
      <c r="D14">
        <v>13.7</v>
      </c>
      <c r="E14">
        <v>17.399999999999999</v>
      </c>
      <c r="F14">
        <v>8.9</v>
      </c>
      <c r="G14">
        <v>13.4</v>
      </c>
      <c r="H14">
        <v>7.3</v>
      </c>
      <c r="I14">
        <v>11.2</v>
      </c>
      <c r="J14">
        <v>10.6</v>
      </c>
      <c r="K14">
        <v>17.399999999999999</v>
      </c>
      <c r="L14">
        <v>3.7</v>
      </c>
      <c r="M14">
        <v>4.5999999999999996</v>
      </c>
      <c r="N14">
        <v>4.7</v>
      </c>
      <c r="O14">
        <v>6.3</v>
      </c>
    </row>
    <row r="16" spans="1:15" x14ac:dyDescent="0.25">
      <c r="A16" t="s">
        <v>19</v>
      </c>
    </row>
  </sheetData>
  <sheetProtection password="A398" sheet="1" objects="1" scenarios="1"/>
  <mergeCells count="14">
    <mergeCell ref="B1:C1"/>
    <mergeCell ref="N1:O1"/>
    <mergeCell ref="L1:M1"/>
    <mergeCell ref="J1:K1"/>
    <mergeCell ref="H1:I1"/>
    <mergeCell ref="F1:G1"/>
    <mergeCell ref="D1:E1"/>
    <mergeCell ref="L3:M3"/>
    <mergeCell ref="N3:O3"/>
    <mergeCell ref="B3:C3"/>
    <mergeCell ref="D3:E3"/>
    <mergeCell ref="F3:G3"/>
    <mergeCell ref="H3:I3"/>
    <mergeCell ref="J3:K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workbookViewId="0">
      <selection activeCell="E26" sqref="E26"/>
    </sheetView>
  </sheetViews>
  <sheetFormatPr baseColWidth="10" defaultRowHeight="15" x14ac:dyDescent="0.25"/>
  <cols>
    <col min="4" max="16" width="10.85546875" customWidth="1"/>
  </cols>
  <sheetData>
    <row r="1" spans="1:16" ht="15" customHeight="1" thickBot="1" x14ac:dyDescent="0.3">
      <c r="D1" s="158" t="s">
        <v>115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ht="15.75" thickBot="1" x14ac:dyDescent="0.3">
      <c r="B2" s="80">
        <f>VLOOKUP('Pre-evaluation'!C4,'SFH - Thermal needs'!B3:C10,2)</f>
        <v>208.33333333333331</v>
      </c>
      <c r="C2" s="75"/>
      <c r="D2" t="s">
        <v>120</v>
      </c>
      <c r="E2" t="s">
        <v>121</v>
      </c>
      <c r="F2" t="s">
        <v>122</v>
      </c>
      <c r="G2" t="s">
        <v>123</v>
      </c>
      <c r="H2" t="s">
        <v>142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140</v>
      </c>
      <c r="P2" t="s">
        <v>141</v>
      </c>
    </row>
    <row r="3" spans="1:16" x14ac:dyDescent="0.25">
      <c r="A3">
        <v>1</v>
      </c>
      <c r="B3" s="79" t="s">
        <v>44</v>
      </c>
      <c r="C3" s="76">
        <f>HLOOKUP('Pre-evaluation'!C$7,'SFH - Thermal needs'!D$2:P3,A3+1)</f>
        <v>144.80000000000001</v>
      </c>
      <c r="D3">
        <v>135.80000000000001</v>
      </c>
      <c r="E3">
        <v>135.80000000000001</v>
      </c>
      <c r="F3">
        <v>135.80000000000001</v>
      </c>
      <c r="G3">
        <v>147.30000000000001</v>
      </c>
      <c r="H3">
        <v>147.30000000000001</v>
      </c>
      <c r="I3">
        <v>147.30000000000001</v>
      </c>
      <c r="J3">
        <v>134.19999999999999</v>
      </c>
      <c r="K3">
        <v>144.80000000000001</v>
      </c>
      <c r="L3">
        <v>144.80000000000001</v>
      </c>
      <c r="M3">
        <v>104.6</v>
      </c>
      <c r="N3">
        <v>100.8</v>
      </c>
      <c r="O3">
        <v>74.3</v>
      </c>
      <c r="P3">
        <v>92.5</v>
      </c>
    </row>
    <row r="4" spans="1:16" x14ac:dyDescent="0.25">
      <c r="A4">
        <v>2</v>
      </c>
      <c r="B4" s="73" t="s">
        <v>112</v>
      </c>
      <c r="C4" s="77">
        <f>HLOOKUP('Pre-evaluation'!C$7,'SFH - Thermal needs'!D$2:P4,A4+1)</f>
        <v>119.5</v>
      </c>
      <c r="D4">
        <v>153.19999999999999</v>
      </c>
      <c r="E4">
        <v>153.19999999999999</v>
      </c>
      <c r="F4">
        <v>153.19999999999999</v>
      </c>
      <c r="G4">
        <v>153.19999999999999</v>
      </c>
      <c r="H4">
        <v>160.1</v>
      </c>
      <c r="I4">
        <v>152.80000000000001</v>
      </c>
      <c r="J4">
        <v>133</v>
      </c>
      <c r="K4">
        <v>133</v>
      </c>
      <c r="L4">
        <v>119.5</v>
      </c>
      <c r="M4">
        <v>102.6</v>
      </c>
      <c r="N4">
        <v>102.6</v>
      </c>
      <c r="O4">
        <v>63.5</v>
      </c>
      <c r="P4">
        <v>64.5</v>
      </c>
    </row>
    <row r="5" spans="1:16" x14ac:dyDescent="0.25">
      <c r="A5">
        <v>3</v>
      </c>
      <c r="B5" s="73" t="s">
        <v>43</v>
      </c>
      <c r="C5" s="77">
        <f>HLOOKUP('Pre-evaluation'!C$7,'SFH - Thermal needs'!D$2:P5,A5+1)</f>
        <v>127.6</v>
      </c>
      <c r="D5">
        <v>115.7</v>
      </c>
      <c r="E5">
        <v>115.7</v>
      </c>
      <c r="F5">
        <v>115.7</v>
      </c>
      <c r="G5">
        <v>105.5</v>
      </c>
      <c r="H5">
        <v>105.5</v>
      </c>
      <c r="I5">
        <v>105.5</v>
      </c>
      <c r="J5">
        <v>119.3</v>
      </c>
      <c r="K5">
        <v>119.3</v>
      </c>
      <c r="L5">
        <v>127.6</v>
      </c>
      <c r="M5">
        <v>70.900000000000006</v>
      </c>
      <c r="N5">
        <v>82.4</v>
      </c>
      <c r="O5">
        <v>67.2</v>
      </c>
      <c r="P5">
        <v>51.7</v>
      </c>
    </row>
    <row r="6" spans="1:16" x14ac:dyDescent="0.25">
      <c r="A6">
        <v>4</v>
      </c>
      <c r="B6" s="73" t="s">
        <v>53</v>
      </c>
      <c r="C6" s="77">
        <f>HLOOKUP('Pre-evaluation'!C$7,'SFH - Thermal needs'!D$2:P6,A6+1)</f>
        <v>136</v>
      </c>
      <c r="D6">
        <v>161.9</v>
      </c>
      <c r="E6">
        <v>161.9</v>
      </c>
      <c r="F6">
        <v>161.9</v>
      </c>
      <c r="G6">
        <v>145.6</v>
      </c>
      <c r="H6">
        <v>145.6</v>
      </c>
      <c r="I6">
        <v>145.6</v>
      </c>
      <c r="J6">
        <v>162.69999999999999</v>
      </c>
      <c r="K6">
        <v>160.80000000000001</v>
      </c>
      <c r="L6">
        <v>136</v>
      </c>
      <c r="M6">
        <v>117.4</v>
      </c>
      <c r="N6">
        <v>106.9</v>
      </c>
      <c r="O6">
        <v>75.8</v>
      </c>
      <c r="P6">
        <v>82.7</v>
      </c>
    </row>
    <row r="7" spans="1:16" x14ac:dyDescent="0.25">
      <c r="A7">
        <v>5</v>
      </c>
      <c r="B7" s="73" t="s">
        <v>113</v>
      </c>
      <c r="C7" s="77">
        <f>HLOOKUP('Pre-evaluation'!C$7,'SFH - Thermal needs'!D$2:P7,A7+1)</f>
        <v>141.30000000000001</v>
      </c>
      <c r="D7">
        <v>139.80000000000001</v>
      </c>
      <c r="E7">
        <v>144.4</v>
      </c>
      <c r="F7">
        <v>144.4</v>
      </c>
      <c r="G7">
        <v>142.30000000000001</v>
      </c>
      <c r="H7">
        <v>142.30000000000001</v>
      </c>
      <c r="I7">
        <v>142.30000000000001</v>
      </c>
      <c r="J7">
        <v>135.4</v>
      </c>
      <c r="K7">
        <v>141.30000000000001</v>
      </c>
      <c r="L7">
        <v>141.30000000000001</v>
      </c>
      <c r="M7">
        <v>97.1</v>
      </c>
      <c r="N7">
        <v>81.5</v>
      </c>
      <c r="O7">
        <v>81.5</v>
      </c>
      <c r="P7">
        <v>66.400000000000006</v>
      </c>
    </row>
    <row r="8" spans="1:16" x14ac:dyDescent="0.25">
      <c r="A8">
        <v>6</v>
      </c>
      <c r="B8" s="73" t="s">
        <v>114</v>
      </c>
      <c r="C8" s="77">
        <f>HLOOKUP('Pre-evaluation'!C$7,'SFH - Thermal needs'!D$2:P8,A8+1)</f>
        <v>12.4</v>
      </c>
      <c r="D8">
        <v>17.2</v>
      </c>
      <c r="E8">
        <v>14.8</v>
      </c>
      <c r="F8">
        <v>14.8</v>
      </c>
      <c r="G8">
        <v>14.8</v>
      </c>
      <c r="H8">
        <v>14.8</v>
      </c>
      <c r="I8">
        <v>8.1</v>
      </c>
      <c r="J8">
        <v>8.1</v>
      </c>
      <c r="K8">
        <v>12.4</v>
      </c>
      <c r="L8">
        <v>12.4</v>
      </c>
      <c r="M8">
        <v>5.8</v>
      </c>
      <c r="N8">
        <v>5.8</v>
      </c>
      <c r="O8">
        <v>5.8</v>
      </c>
      <c r="P8">
        <v>6.4</v>
      </c>
    </row>
    <row r="9" spans="1:16" x14ac:dyDescent="0.25">
      <c r="A9">
        <v>7</v>
      </c>
      <c r="B9" s="73" t="s">
        <v>40</v>
      </c>
      <c r="C9" s="77">
        <f>HLOOKUP('Pre-evaluation'!C$7,'SFH - Thermal needs'!D$2:P9,A9+1)</f>
        <v>165.2</v>
      </c>
      <c r="D9">
        <v>198.6</v>
      </c>
      <c r="E9">
        <v>198.6</v>
      </c>
      <c r="F9">
        <v>198.6</v>
      </c>
      <c r="G9">
        <v>198.6</v>
      </c>
      <c r="H9">
        <v>198.6</v>
      </c>
      <c r="I9">
        <v>198.6</v>
      </c>
      <c r="J9">
        <v>198.6</v>
      </c>
      <c r="K9">
        <v>188.7</v>
      </c>
      <c r="L9">
        <v>165.2</v>
      </c>
      <c r="M9">
        <v>165.2</v>
      </c>
      <c r="N9">
        <v>160.1</v>
      </c>
      <c r="O9">
        <v>156.1</v>
      </c>
      <c r="P9" s="82">
        <v>156.1</v>
      </c>
    </row>
    <row r="10" spans="1:16" ht="15.75" thickBot="1" x14ac:dyDescent="0.3">
      <c r="A10">
        <v>8</v>
      </c>
      <c r="B10" s="74" t="s">
        <v>111</v>
      </c>
      <c r="C10" s="78">
        <f>HLOOKUP('Pre-evaluation'!C$7,'SFH - Thermal needs'!D$2:P10,A10+1)</f>
        <v>208.33333333333331</v>
      </c>
      <c r="D10" s="86">
        <f>(700-50)/3.6</f>
        <v>180.55555555555554</v>
      </c>
      <c r="E10" s="86">
        <f>(700-50)/3.6</f>
        <v>180.55555555555554</v>
      </c>
      <c r="F10" s="86">
        <f>(700-50)/3.6</f>
        <v>180.55555555555554</v>
      </c>
      <c r="G10" s="86">
        <f>(700-50)/3.6</f>
        <v>180.55555555555554</v>
      </c>
      <c r="H10" s="86">
        <f>(700-50)/3.6</f>
        <v>180.55555555555554</v>
      </c>
      <c r="I10" s="86">
        <f>(800-50)/3.6</f>
        <v>208.33333333333331</v>
      </c>
      <c r="J10" s="86">
        <f>(800-50)/3.6</f>
        <v>208.33333333333331</v>
      </c>
      <c r="K10" s="86">
        <f>(800-50)/3.6</f>
        <v>208.33333333333331</v>
      </c>
      <c r="L10" s="86">
        <f>(800-50)/3.6</f>
        <v>208.33333333333331</v>
      </c>
      <c r="M10" s="86">
        <f>(580-50)/3.6</f>
        <v>147.22222222222223</v>
      </c>
      <c r="N10" s="88">
        <f>330/3.6</f>
        <v>91.666666666666671</v>
      </c>
      <c r="O10" s="87">
        <f>(90+90*1.5)/3.6</f>
        <v>62.5</v>
      </c>
      <c r="P10" s="88">
        <f>(65+65*1.5)/3.6</f>
        <v>45.138888888888886</v>
      </c>
    </row>
    <row r="14" spans="1:16" x14ac:dyDescent="0.25">
      <c r="B14" t="s">
        <v>51</v>
      </c>
      <c r="C14" s="81" t="s">
        <v>137</v>
      </c>
    </row>
    <row r="15" spans="1:16" x14ac:dyDescent="0.25">
      <c r="B15" t="s">
        <v>138</v>
      </c>
      <c r="C15" s="7" t="s">
        <v>139</v>
      </c>
    </row>
    <row r="16" spans="1:16" x14ac:dyDescent="0.25">
      <c r="B16" t="s">
        <v>144</v>
      </c>
      <c r="C16" s="82" t="s">
        <v>145</v>
      </c>
    </row>
    <row r="17" spans="3:3" x14ac:dyDescent="0.25">
      <c r="C17" s="85" t="s">
        <v>147</v>
      </c>
    </row>
    <row r="18" spans="3:3" x14ac:dyDescent="0.25">
      <c r="C18" s="87" t="s">
        <v>148</v>
      </c>
    </row>
  </sheetData>
  <sheetProtection password="A398" sheet="1" objects="1" scenarios="1"/>
  <sortState ref="B2:B9">
    <sortCondition ref="B2"/>
  </sortState>
  <mergeCells count="1">
    <mergeCell ref="D1:P1"/>
  </mergeCells>
  <hyperlinks>
    <hyperlink ref="C14" r:id="rId1" xr:uid="{00000000-0004-0000-03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workbookViewId="0">
      <selection activeCell="E26" sqref="E26"/>
    </sheetView>
  </sheetViews>
  <sheetFormatPr baseColWidth="10" defaultRowHeight="15" x14ac:dyDescent="0.25"/>
  <cols>
    <col min="4" max="16" width="10.85546875" customWidth="1"/>
  </cols>
  <sheetData>
    <row r="1" spans="1:17" ht="15" customHeight="1" thickBot="1" x14ac:dyDescent="0.3">
      <c r="D1" s="158" t="s">
        <v>130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7" ht="15.75" thickBot="1" x14ac:dyDescent="0.3">
      <c r="B2" s="80">
        <f>VLOOKUP('Pre-evaluation'!C4,'MFH - Thermal needs'!B3:C10,2)</f>
        <v>201.38888888888889</v>
      </c>
      <c r="C2" s="75"/>
      <c r="D2" t="s">
        <v>120</v>
      </c>
      <c r="E2" t="s">
        <v>121</v>
      </c>
      <c r="F2" t="s">
        <v>122</v>
      </c>
      <c r="G2" t="s">
        <v>123</v>
      </c>
      <c r="H2" t="s">
        <v>142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140</v>
      </c>
      <c r="P2" t="s">
        <v>141</v>
      </c>
    </row>
    <row r="3" spans="1:17" x14ac:dyDescent="0.25">
      <c r="A3">
        <v>1</v>
      </c>
      <c r="B3" s="79" t="s">
        <v>44</v>
      </c>
      <c r="C3" s="76">
        <f>HLOOKUP('Pre-evaluation'!D$7,'MFH - Thermal needs'!D$2:P3,A3+1)</f>
        <v>126.6</v>
      </c>
      <c r="D3">
        <v>125.7</v>
      </c>
      <c r="E3">
        <v>125.7</v>
      </c>
      <c r="F3">
        <v>125.7</v>
      </c>
      <c r="G3">
        <v>135.9</v>
      </c>
      <c r="H3">
        <v>135.9</v>
      </c>
      <c r="I3">
        <v>135.9</v>
      </c>
      <c r="J3">
        <v>125.4</v>
      </c>
      <c r="K3">
        <v>126.6</v>
      </c>
      <c r="L3">
        <v>126.6</v>
      </c>
      <c r="M3">
        <v>89.9</v>
      </c>
      <c r="N3">
        <v>88</v>
      </c>
      <c r="O3">
        <v>77.900000000000006</v>
      </c>
      <c r="P3">
        <v>91.9</v>
      </c>
    </row>
    <row r="4" spans="1:17" x14ac:dyDescent="0.25">
      <c r="A4">
        <v>2</v>
      </c>
      <c r="B4" s="73" t="s">
        <v>112</v>
      </c>
      <c r="C4" s="77">
        <f>HLOOKUP('Pre-evaluation'!D$7,'MFH - Thermal needs'!D$2:P4,A4+1)</f>
        <v>99.7</v>
      </c>
      <c r="D4">
        <v>137.69999999999999</v>
      </c>
      <c r="E4">
        <v>137.69999999999999</v>
      </c>
      <c r="F4">
        <v>137.69999999999999</v>
      </c>
      <c r="G4">
        <v>137.69999999999999</v>
      </c>
      <c r="H4">
        <v>109.5</v>
      </c>
      <c r="I4">
        <v>109.5</v>
      </c>
      <c r="J4">
        <v>110.6</v>
      </c>
      <c r="K4">
        <v>117</v>
      </c>
      <c r="L4">
        <v>99.7</v>
      </c>
      <c r="M4">
        <v>66.900000000000006</v>
      </c>
      <c r="N4">
        <v>66.900000000000006</v>
      </c>
      <c r="O4">
        <v>58</v>
      </c>
      <c r="P4">
        <v>55.8</v>
      </c>
      <c r="Q4" t="s">
        <v>143</v>
      </c>
    </row>
    <row r="5" spans="1:17" x14ac:dyDescent="0.25">
      <c r="A5">
        <v>3</v>
      </c>
      <c r="B5" s="73" t="s">
        <v>43</v>
      </c>
      <c r="C5" s="77">
        <f>HLOOKUP('Pre-evaluation'!D$7,'MFH - Thermal needs'!D$2:P5,A5+1)</f>
        <v>96.6</v>
      </c>
      <c r="D5">
        <v>116</v>
      </c>
      <c r="E5">
        <v>116</v>
      </c>
      <c r="F5">
        <v>116</v>
      </c>
      <c r="G5">
        <v>126.3</v>
      </c>
      <c r="H5">
        <v>126.3</v>
      </c>
      <c r="I5">
        <v>126.3</v>
      </c>
      <c r="J5">
        <v>119.5</v>
      </c>
      <c r="K5">
        <v>109.1</v>
      </c>
      <c r="L5">
        <v>96.6</v>
      </c>
      <c r="M5">
        <v>82.7</v>
      </c>
      <c r="N5">
        <v>58.2</v>
      </c>
      <c r="O5">
        <v>47.3</v>
      </c>
      <c r="P5">
        <v>28</v>
      </c>
    </row>
    <row r="6" spans="1:17" x14ac:dyDescent="0.25">
      <c r="A6">
        <v>4</v>
      </c>
      <c r="B6" s="73" t="s">
        <v>53</v>
      </c>
      <c r="C6" s="77">
        <f>HLOOKUP('Pre-evaluation'!D$7,'MFH - Thermal needs'!D$2:P6,A6+1)</f>
        <v>102</v>
      </c>
      <c r="D6">
        <v>128.6</v>
      </c>
      <c r="E6">
        <v>128.6</v>
      </c>
      <c r="F6">
        <v>128.6</v>
      </c>
      <c r="G6">
        <v>147.69999999999999</v>
      </c>
      <c r="H6">
        <v>147.69999999999999</v>
      </c>
      <c r="I6">
        <v>147.69999999999999</v>
      </c>
      <c r="J6">
        <v>137.4</v>
      </c>
      <c r="K6">
        <v>112.4</v>
      </c>
      <c r="L6">
        <v>102</v>
      </c>
      <c r="M6">
        <v>105</v>
      </c>
      <c r="N6">
        <v>88.1</v>
      </c>
      <c r="O6">
        <v>55.9</v>
      </c>
      <c r="P6">
        <v>73.5</v>
      </c>
    </row>
    <row r="7" spans="1:17" x14ac:dyDescent="0.25">
      <c r="A7">
        <v>5</v>
      </c>
      <c r="B7" s="73" t="s">
        <v>113</v>
      </c>
      <c r="C7" s="77">
        <f>HLOOKUP('Pre-evaluation'!D$7,'MFH - Thermal needs'!D$2:P7,A7+1)</f>
        <v>105.2</v>
      </c>
      <c r="D7">
        <v>115</v>
      </c>
      <c r="E7">
        <v>100</v>
      </c>
      <c r="F7">
        <v>100</v>
      </c>
      <c r="G7">
        <v>113.5</v>
      </c>
      <c r="H7">
        <v>113.5</v>
      </c>
      <c r="I7">
        <v>113.5</v>
      </c>
      <c r="J7">
        <v>106.7</v>
      </c>
      <c r="K7">
        <v>105.2</v>
      </c>
      <c r="L7">
        <v>105.2</v>
      </c>
      <c r="M7">
        <v>88</v>
      </c>
      <c r="N7">
        <v>74.599999999999994</v>
      </c>
      <c r="O7">
        <v>74.599999999999994</v>
      </c>
      <c r="P7">
        <v>58.2</v>
      </c>
    </row>
    <row r="8" spans="1:17" x14ac:dyDescent="0.25">
      <c r="A8">
        <v>6</v>
      </c>
      <c r="B8" s="73" t="s">
        <v>114</v>
      </c>
      <c r="C8" s="77">
        <f>HLOOKUP('Pre-evaluation'!D$7,'MFH - Thermal needs'!D$2:P8,A8+1)</f>
        <v>9.8000000000000007</v>
      </c>
      <c r="D8">
        <v>11.8</v>
      </c>
      <c r="E8">
        <v>7.7</v>
      </c>
      <c r="F8">
        <v>7.7</v>
      </c>
      <c r="G8">
        <v>7.7</v>
      </c>
      <c r="H8">
        <v>7.7</v>
      </c>
      <c r="I8">
        <v>11.3</v>
      </c>
      <c r="J8">
        <v>11.3</v>
      </c>
      <c r="K8">
        <v>9.8000000000000007</v>
      </c>
      <c r="L8">
        <v>9.8000000000000007</v>
      </c>
      <c r="M8">
        <v>3.9</v>
      </c>
      <c r="N8">
        <v>3.9</v>
      </c>
      <c r="O8">
        <v>3.9</v>
      </c>
      <c r="P8">
        <v>3.5</v>
      </c>
    </row>
    <row r="9" spans="1:17" x14ac:dyDescent="0.25">
      <c r="A9">
        <v>7</v>
      </c>
      <c r="B9" s="73" t="s">
        <v>40</v>
      </c>
      <c r="C9" s="77">
        <f>HLOOKUP('Pre-evaluation'!D$7,'MFH - Thermal needs'!D$2:P9,A9+1)</f>
        <v>115.3</v>
      </c>
      <c r="D9">
        <v>128.80000000000001</v>
      </c>
      <c r="E9">
        <v>128.80000000000001</v>
      </c>
      <c r="F9">
        <v>128.80000000000001</v>
      </c>
      <c r="G9">
        <v>128.80000000000001</v>
      </c>
      <c r="H9">
        <v>128.80000000000001</v>
      </c>
      <c r="I9">
        <v>128.80000000000001</v>
      </c>
      <c r="J9">
        <v>128.80000000000001</v>
      </c>
      <c r="K9">
        <v>115.3</v>
      </c>
      <c r="L9">
        <v>115.3</v>
      </c>
      <c r="M9">
        <v>95.4</v>
      </c>
      <c r="N9">
        <v>84.4</v>
      </c>
      <c r="O9" s="83">
        <v>83.3</v>
      </c>
      <c r="P9" s="84">
        <v>83.3</v>
      </c>
    </row>
    <row r="10" spans="1:17" ht="15.75" thickBot="1" x14ac:dyDescent="0.3">
      <c r="A10">
        <v>8</v>
      </c>
      <c r="B10" s="74" t="s">
        <v>111</v>
      </c>
      <c r="C10" s="78">
        <f>HLOOKUP('Pre-evaluation'!D$7,'MFH - Thermal needs'!D$2:P10,A10+1)</f>
        <v>201.38888888888889</v>
      </c>
      <c r="D10" s="86">
        <f>(700-75)/3.6</f>
        <v>173.61111111111111</v>
      </c>
      <c r="E10" s="86">
        <f>(700-75)/3.6</f>
        <v>173.61111111111111</v>
      </c>
      <c r="F10" s="86">
        <f>(700-75)/3.6</f>
        <v>173.61111111111111</v>
      </c>
      <c r="G10" s="86">
        <f>(700-75)/3.6</f>
        <v>173.61111111111111</v>
      </c>
      <c r="H10" s="86">
        <f>(700-75)/3.6</f>
        <v>173.61111111111111</v>
      </c>
      <c r="I10" s="86">
        <f>(800-75)/3.6</f>
        <v>201.38888888888889</v>
      </c>
      <c r="J10" s="86">
        <f>(800-75)/3.6</f>
        <v>201.38888888888889</v>
      </c>
      <c r="K10" s="86">
        <f>(800-75)/3.6</f>
        <v>201.38888888888889</v>
      </c>
      <c r="L10" s="86">
        <f>(800-75)/3.6</f>
        <v>201.38888888888889</v>
      </c>
      <c r="M10" s="86">
        <f>(580-75)/3.6</f>
        <v>140.27777777777777</v>
      </c>
      <c r="N10" s="88">
        <f>330/3.6</f>
        <v>91.666666666666671</v>
      </c>
      <c r="O10" s="87">
        <f>(90+90*1.5)/3.6</f>
        <v>62.5</v>
      </c>
      <c r="P10" s="88">
        <f>(65+65*1.5)/3.6</f>
        <v>45.138888888888886</v>
      </c>
    </row>
    <row r="14" spans="1:17" x14ac:dyDescent="0.25">
      <c r="B14" t="s">
        <v>51</v>
      </c>
      <c r="C14" s="81" t="s">
        <v>137</v>
      </c>
    </row>
    <row r="15" spans="1:17" x14ac:dyDescent="0.25">
      <c r="B15" t="s">
        <v>138</v>
      </c>
      <c r="C15" s="7" t="s">
        <v>139</v>
      </c>
    </row>
    <row r="16" spans="1:17" x14ac:dyDescent="0.25">
      <c r="B16" t="s">
        <v>144</v>
      </c>
      <c r="C16" s="82" t="s">
        <v>145</v>
      </c>
    </row>
    <row r="17" spans="3:3" x14ac:dyDescent="0.25">
      <c r="C17" s="85" t="s">
        <v>147</v>
      </c>
    </row>
    <row r="18" spans="3:3" x14ac:dyDescent="0.25">
      <c r="C18" s="87" t="s">
        <v>148</v>
      </c>
    </row>
  </sheetData>
  <sheetProtection password="A398" sheet="1" objects="1" scenarios="1"/>
  <mergeCells count="1">
    <mergeCell ref="D1:P1"/>
  </mergeCells>
  <hyperlinks>
    <hyperlink ref="C14" r:id="rId1" xr:uid="{00000000-0004-0000-04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zoomScaleNormal="100" workbookViewId="0">
      <selection activeCell="E26" sqref="E26"/>
    </sheetView>
  </sheetViews>
  <sheetFormatPr baseColWidth="10" defaultRowHeight="15" x14ac:dyDescent="0.25"/>
  <cols>
    <col min="4" max="16" width="10.85546875" customWidth="1"/>
  </cols>
  <sheetData>
    <row r="1" spans="1:17" ht="15" customHeight="1" thickBot="1" x14ac:dyDescent="0.3">
      <c r="D1" s="158" t="s">
        <v>131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7" ht="15.75" thickBot="1" x14ac:dyDescent="0.3">
      <c r="B2" s="80">
        <f>VLOOKUP('Pre-evaluation'!C4,'BA - Thermal needs'!B3:C10,2)</f>
        <v>83.333333333333329</v>
      </c>
      <c r="C2" s="75"/>
      <c r="D2" t="s">
        <v>120</v>
      </c>
      <c r="E2" t="s">
        <v>121</v>
      </c>
      <c r="F2" t="s">
        <v>122</v>
      </c>
      <c r="G2" t="s">
        <v>123</v>
      </c>
      <c r="H2" t="s">
        <v>142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140</v>
      </c>
      <c r="P2" t="s">
        <v>141</v>
      </c>
    </row>
    <row r="3" spans="1:17" x14ac:dyDescent="0.25">
      <c r="A3">
        <v>1</v>
      </c>
      <c r="B3" s="79" t="s">
        <v>44</v>
      </c>
      <c r="C3" s="76">
        <f>HLOOKUP('Pre-evaluation'!E$7,'BA - Thermal needs'!D$2:P3,A3+1)</f>
        <v>83.8</v>
      </c>
      <c r="D3">
        <v>108.9</v>
      </c>
      <c r="E3">
        <v>108.9</v>
      </c>
      <c r="F3">
        <v>108.9</v>
      </c>
      <c r="G3">
        <v>125.1</v>
      </c>
      <c r="H3">
        <v>125.1</v>
      </c>
      <c r="I3">
        <v>125.1</v>
      </c>
      <c r="J3">
        <v>112.3</v>
      </c>
      <c r="K3">
        <v>112</v>
      </c>
      <c r="L3">
        <v>112</v>
      </c>
      <c r="M3">
        <v>83.8</v>
      </c>
      <c r="N3">
        <v>83.8</v>
      </c>
      <c r="O3">
        <v>68.8</v>
      </c>
      <c r="P3">
        <v>78.400000000000006</v>
      </c>
    </row>
    <row r="4" spans="1:17" x14ac:dyDescent="0.25">
      <c r="A4">
        <v>2</v>
      </c>
      <c r="B4" s="73" t="s">
        <v>112</v>
      </c>
      <c r="C4" s="77">
        <f>HLOOKUP('Pre-evaluation'!E$7,'BA - Thermal needs'!D$2:P4,A4+1)</f>
        <v>68.5</v>
      </c>
      <c r="D4">
        <v>127.2</v>
      </c>
      <c r="E4">
        <v>127.2</v>
      </c>
      <c r="F4">
        <v>127.2</v>
      </c>
      <c r="G4">
        <v>127.2</v>
      </c>
      <c r="H4">
        <v>139.30000000000001</v>
      </c>
      <c r="I4">
        <v>139.30000000000001</v>
      </c>
      <c r="J4">
        <v>148.4</v>
      </c>
      <c r="K4">
        <v>104.4</v>
      </c>
      <c r="L4">
        <v>102</v>
      </c>
      <c r="M4">
        <v>68.5</v>
      </c>
      <c r="N4">
        <v>68.5</v>
      </c>
      <c r="O4">
        <v>54.2</v>
      </c>
      <c r="P4">
        <v>48.3</v>
      </c>
    </row>
    <row r="5" spans="1:17" x14ac:dyDescent="0.25">
      <c r="A5">
        <v>3</v>
      </c>
      <c r="B5" s="73" t="s">
        <v>43</v>
      </c>
      <c r="C5" s="77">
        <f>HLOOKUP('Pre-evaluation'!E$7,'BA - Thermal needs'!D$2:P5,A5+1)</f>
        <v>52.4</v>
      </c>
      <c r="D5">
        <v>109.6</v>
      </c>
      <c r="E5">
        <v>109.6</v>
      </c>
      <c r="F5">
        <v>109.6</v>
      </c>
      <c r="G5">
        <v>131.9</v>
      </c>
      <c r="H5">
        <v>131.9</v>
      </c>
      <c r="I5">
        <v>131.9</v>
      </c>
      <c r="J5">
        <v>102.4</v>
      </c>
      <c r="K5">
        <v>95.4</v>
      </c>
      <c r="L5">
        <v>96</v>
      </c>
      <c r="M5">
        <v>71.8</v>
      </c>
      <c r="N5">
        <v>52.4</v>
      </c>
      <c r="O5">
        <v>41</v>
      </c>
      <c r="P5">
        <v>20.399999999999999</v>
      </c>
    </row>
    <row r="6" spans="1:17" x14ac:dyDescent="0.25">
      <c r="A6">
        <v>4</v>
      </c>
      <c r="B6" s="73" t="s">
        <v>53</v>
      </c>
      <c r="C6" s="77">
        <f>HLOOKUP('Pre-evaluation'!E$7,'BA - Thermal needs'!D$2:P6,A6+1)</f>
        <v>77.3</v>
      </c>
      <c r="D6">
        <v>109.1</v>
      </c>
      <c r="E6">
        <v>109.1</v>
      </c>
      <c r="F6">
        <v>109.1</v>
      </c>
      <c r="G6">
        <v>126.3</v>
      </c>
      <c r="H6">
        <v>126.3</v>
      </c>
      <c r="I6">
        <v>126.3</v>
      </c>
      <c r="J6">
        <v>124.7</v>
      </c>
      <c r="K6">
        <v>114.1</v>
      </c>
      <c r="L6">
        <v>101.4</v>
      </c>
      <c r="M6">
        <v>77.3</v>
      </c>
      <c r="N6">
        <v>77.3</v>
      </c>
      <c r="O6" s="82">
        <v>77.3</v>
      </c>
      <c r="P6" s="82">
        <v>77.3</v>
      </c>
    </row>
    <row r="7" spans="1:17" x14ac:dyDescent="0.25">
      <c r="A7">
        <v>5</v>
      </c>
      <c r="B7" s="73" t="s">
        <v>113</v>
      </c>
      <c r="C7" s="77">
        <f>HLOOKUP('Pre-evaluation'!E$7,'BA - Thermal needs'!D$2:P7,A7+1)</f>
        <v>70.3</v>
      </c>
      <c r="D7">
        <v>90.7</v>
      </c>
      <c r="E7">
        <v>110.5</v>
      </c>
      <c r="F7">
        <v>110.5</v>
      </c>
      <c r="G7">
        <v>103.2</v>
      </c>
      <c r="H7">
        <v>103.2</v>
      </c>
      <c r="I7">
        <v>103.2</v>
      </c>
      <c r="J7">
        <v>103.9</v>
      </c>
      <c r="K7">
        <v>99.2</v>
      </c>
      <c r="L7">
        <v>99.2</v>
      </c>
      <c r="M7">
        <v>69.5</v>
      </c>
      <c r="N7">
        <v>70.3</v>
      </c>
      <c r="O7">
        <v>70.3</v>
      </c>
      <c r="P7">
        <v>53.4</v>
      </c>
    </row>
    <row r="8" spans="1:17" x14ac:dyDescent="0.25">
      <c r="A8">
        <v>6</v>
      </c>
      <c r="B8" s="73" t="s">
        <v>114</v>
      </c>
      <c r="C8" s="77">
        <f>HLOOKUP('Pre-evaluation'!E$7,'BA - Thermal needs'!D$2:P8,A8+1)</f>
        <v>2.2999999999999998</v>
      </c>
      <c r="D8">
        <v>7.8</v>
      </c>
      <c r="E8">
        <v>8.5</v>
      </c>
      <c r="F8">
        <v>8.5</v>
      </c>
      <c r="G8">
        <v>8.5</v>
      </c>
      <c r="H8">
        <v>8.5</v>
      </c>
      <c r="I8">
        <v>7.4</v>
      </c>
      <c r="J8">
        <v>7.4</v>
      </c>
      <c r="K8">
        <v>4.3</v>
      </c>
      <c r="L8">
        <v>4.3</v>
      </c>
      <c r="M8">
        <v>2.2999999999999998</v>
      </c>
      <c r="N8">
        <v>2.2999999999999998</v>
      </c>
      <c r="O8">
        <v>2.2999999999999998</v>
      </c>
      <c r="P8">
        <v>2.4</v>
      </c>
    </row>
    <row r="9" spans="1:17" x14ac:dyDescent="0.25">
      <c r="A9">
        <v>7</v>
      </c>
      <c r="B9" s="73" t="s">
        <v>40</v>
      </c>
      <c r="C9" s="77">
        <f>HLOOKUP('Pre-evaluation'!E$7,'BA - Thermal needs'!D$2:P9,A9+1)</f>
        <v>84.4</v>
      </c>
      <c r="D9" s="82">
        <v>128.80000000000001</v>
      </c>
      <c r="E9" s="82">
        <v>128.80000000000001</v>
      </c>
      <c r="F9" s="82">
        <v>128.80000000000001</v>
      </c>
      <c r="G9" s="82">
        <v>128.80000000000001</v>
      </c>
      <c r="H9" s="82">
        <v>128.80000000000001</v>
      </c>
      <c r="I9" s="82">
        <v>128.80000000000001</v>
      </c>
      <c r="J9" s="82">
        <v>128.80000000000001</v>
      </c>
      <c r="K9" s="82">
        <v>115.3</v>
      </c>
      <c r="L9" s="82">
        <v>115.3</v>
      </c>
      <c r="M9" s="82">
        <v>95.4</v>
      </c>
      <c r="N9" s="82">
        <v>84.4</v>
      </c>
      <c r="O9" s="84">
        <v>83.3</v>
      </c>
      <c r="P9" s="84">
        <v>83.3</v>
      </c>
      <c r="Q9" t="s">
        <v>146</v>
      </c>
    </row>
    <row r="10" spans="1:17" ht="15.75" thickBot="1" x14ac:dyDescent="0.3">
      <c r="A10">
        <v>8</v>
      </c>
      <c r="B10" s="74" t="s">
        <v>111</v>
      </c>
      <c r="C10" s="78">
        <f>HLOOKUP('Pre-evaluation'!E$7,'BA - Thermal needs'!D$2:P10,A10+1)</f>
        <v>83.333333333333329</v>
      </c>
      <c r="D10" s="86">
        <f>(650-75)/3.6</f>
        <v>159.72222222222223</v>
      </c>
      <c r="E10" s="86">
        <f>(650-75)/3.6</f>
        <v>159.72222222222223</v>
      </c>
      <c r="F10" s="86">
        <f>(650-75)/3.6</f>
        <v>159.72222222222223</v>
      </c>
      <c r="G10" s="86">
        <f>(650-75)/3.6</f>
        <v>159.72222222222223</v>
      </c>
      <c r="H10" s="86">
        <f>(650-75)/3.6</f>
        <v>159.72222222222223</v>
      </c>
      <c r="I10" s="86">
        <f>(800-75)/3.6</f>
        <v>201.38888888888889</v>
      </c>
      <c r="J10" s="86">
        <f>(800-75)/3.6</f>
        <v>201.38888888888889</v>
      </c>
      <c r="K10" s="86">
        <f>(800-75)/3.6</f>
        <v>201.38888888888889</v>
      </c>
      <c r="L10" s="86">
        <f>(800-75)/3.6</f>
        <v>201.38888888888889</v>
      </c>
      <c r="M10" s="86">
        <f>(600-75)/3.6</f>
        <v>145.83333333333334</v>
      </c>
      <c r="N10" s="88">
        <f>300/3.6</f>
        <v>83.333333333333329</v>
      </c>
      <c r="O10" s="88">
        <f>(80+90*1.5)/3.6</f>
        <v>59.722222222222221</v>
      </c>
      <c r="P10" s="88">
        <f>(55+65*1.5)/3.6</f>
        <v>42.361111111111107</v>
      </c>
    </row>
    <row r="14" spans="1:17" x14ac:dyDescent="0.25">
      <c r="B14" t="s">
        <v>51</v>
      </c>
      <c r="C14" s="81" t="s">
        <v>137</v>
      </c>
    </row>
    <row r="15" spans="1:17" x14ac:dyDescent="0.25">
      <c r="B15" t="s">
        <v>138</v>
      </c>
      <c r="C15" s="7" t="s">
        <v>139</v>
      </c>
    </row>
    <row r="16" spans="1:17" x14ac:dyDescent="0.25">
      <c r="B16" t="s">
        <v>144</v>
      </c>
      <c r="C16" s="82" t="s">
        <v>145</v>
      </c>
    </row>
    <row r="17" spans="3:3" x14ac:dyDescent="0.25">
      <c r="C17" s="85" t="s">
        <v>147</v>
      </c>
    </row>
    <row r="18" spans="3:3" x14ac:dyDescent="0.25">
      <c r="C18" s="87" t="s">
        <v>148</v>
      </c>
    </row>
  </sheetData>
  <sheetProtection password="A398" sheet="1" objects="1" scenarios="1"/>
  <mergeCells count="1">
    <mergeCell ref="D1:P1"/>
  </mergeCells>
  <hyperlinks>
    <hyperlink ref="C14" r:id="rId1" xr:uid="{00000000-0004-0000-05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4"/>
  <sheetViews>
    <sheetView workbookViewId="0">
      <selection activeCell="I30" sqref="I30"/>
    </sheetView>
  </sheetViews>
  <sheetFormatPr baseColWidth="10" defaultRowHeight="15" x14ac:dyDescent="0.25"/>
  <sheetData>
    <row r="1" spans="1:15" x14ac:dyDescent="0.25">
      <c r="A1">
        <v>188.7</v>
      </c>
      <c r="C1" t="s">
        <v>120</v>
      </c>
      <c r="D1" t="s">
        <v>121</v>
      </c>
      <c r="E1" t="s">
        <v>122</v>
      </c>
      <c r="F1" t="s">
        <v>123</v>
      </c>
      <c r="G1" t="s">
        <v>142</v>
      </c>
      <c r="H1" t="s">
        <v>124</v>
      </c>
      <c r="I1" t="s">
        <v>125</v>
      </c>
      <c r="J1" t="s">
        <v>126</v>
      </c>
      <c r="K1" t="s">
        <v>127</v>
      </c>
      <c r="L1" t="s">
        <v>128</v>
      </c>
      <c r="M1" t="s">
        <v>129</v>
      </c>
      <c r="N1" t="s">
        <v>140</v>
      </c>
      <c r="O1" t="s">
        <v>141</v>
      </c>
    </row>
    <row r="2" spans="1:15" x14ac:dyDescent="0.25">
      <c r="A2" t="s">
        <v>44</v>
      </c>
      <c r="B2">
        <v>144.80000000000001</v>
      </c>
      <c r="C2">
        <v>135.80000000000001</v>
      </c>
      <c r="D2">
        <v>135.80000000000001</v>
      </c>
      <c r="E2">
        <v>135.80000000000001</v>
      </c>
      <c r="F2">
        <v>147.30000000000001</v>
      </c>
      <c r="G2">
        <v>147.30000000000001</v>
      </c>
      <c r="H2">
        <v>147.30000000000001</v>
      </c>
      <c r="I2">
        <v>134.19999999999999</v>
      </c>
      <c r="J2">
        <v>144.80000000000001</v>
      </c>
      <c r="K2">
        <v>144.80000000000001</v>
      </c>
      <c r="L2">
        <v>104.6</v>
      </c>
      <c r="M2">
        <v>100.8</v>
      </c>
      <c r="N2">
        <v>74.3</v>
      </c>
      <c r="O2">
        <v>92.5</v>
      </c>
    </row>
    <row r="3" spans="1:15" x14ac:dyDescent="0.25">
      <c r="A3" t="s">
        <v>112</v>
      </c>
      <c r="B3">
        <v>133</v>
      </c>
      <c r="C3">
        <v>153.19999999999999</v>
      </c>
      <c r="D3">
        <v>153.19999999999999</v>
      </c>
      <c r="E3">
        <v>153.19999999999999</v>
      </c>
      <c r="F3">
        <v>153.19999999999999</v>
      </c>
      <c r="G3">
        <v>160.1</v>
      </c>
      <c r="H3">
        <v>152.80000000000001</v>
      </c>
      <c r="I3">
        <v>133</v>
      </c>
      <c r="J3">
        <v>133</v>
      </c>
      <c r="K3">
        <v>119.5</v>
      </c>
      <c r="L3">
        <v>102.6</v>
      </c>
      <c r="M3">
        <v>102.6</v>
      </c>
      <c r="N3">
        <v>63.5</v>
      </c>
      <c r="O3">
        <v>64.5</v>
      </c>
    </row>
    <row r="4" spans="1:15" x14ac:dyDescent="0.25">
      <c r="A4" t="s">
        <v>43</v>
      </c>
      <c r="B4">
        <v>119.3</v>
      </c>
      <c r="C4">
        <v>115.7</v>
      </c>
      <c r="D4">
        <v>115.7</v>
      </c>
      <c r="E4">
        <v>115.7</v>
      </c>
      <c r="F4">
        <v>105.5</v>
      </c>
      <c r="G4">
        <v>105.5</v>
      </c>
      <c r="H4">
        <v>105.5</v>
      </c>
      <c r="I4">
        <v>119.3</v>
      </c>
      <c r="J4">
        <v>119.3</v>
      </c>
      <c r="K4">
        <v>127.6</v>
      </c>
      <c r="L4">
        <v>70.900000000000006</v>
      </c>
      <c r="M4">
        <v>82.4</v>
      </c>
      <c r="N4">
        <v>67.2</v>
      </c>
      <c r="O4">
        <v>51.7</v>
      </c>
    </row>
    <row r="5" spans="1:15" x14ac:dyDescent="0.25">
      <c r="A5" t="s">
        <v>53</v>
      </c>
      <c r="B5">
        <v>160.80000000000001</v>
      </c>
      <c r="C5">
        <v>161.9</v>
      </c>
      <c r="D5">
        <v>161.9</v>
      </c>
      <c r="E5">
        <v>161.9</v>
      </c>
      <c r="F5">
        <v>145.6</v>
      </c>
      <c r="G5">
        <v>145.6</v>
      </c>
      <c r="H5">
        <v>145.6</v>
      </c>
      <c r="I5">
        <v>162.69999999999999</v>
      </c>
      <c r="J5">
        <v>160.80000000000001</v>
      </c>
      <c r="K5">
        <v>136</v>
      </c>
      <c r="L5">
        <v>117.4</v>
      </c>
      <c r="M5">
        <v>106.9</v>
      </c>
      <c r="N5">
        <v>75.8</v>
      </c>
      <c r="O5">
        <v>82.7</v>
      </c>
    </row>
    <row r="6" spans="1:15" x14ac:dyDescent="0.25">
      <c r="A6" t="s">
        <v>113</v>
      </c>
      <c r="B6">
        <v>141.30000000000001</v>
      </c>
      <c r="C6">
        <v>139.80000000000001</v>
      </c>
      <c r="D6">
        <v>144.4</v>
      </c>
      <c r="E6">
        <v>144.4</v>
      </c>
      <c r="F6">
        <v>142.30000000000001</v>
      </c>
      <c r="G6">
        <v>142.30000000000001</v>
      </c>
      <c r="H6">
        <v>142.30000000000001</v>
      </c>
      <c r="I6">
        <v>135.4</v>
      </c>
      <c r="J6">
        <v>141.30000000000001</v>
      </c>
      <c r="K6">
        <v>141.30000000000001</v>
      </c>
      <c r="L6">
        <v>97.1</v>
      </c>
      <c r="M6">
        <v>81.5</v>
      </c>
      <c r="N6">
        <v>81.5</v>
      </c>
      <c r="O6">
        <v>66.400000000000006</v>
      </c>
    </row>
    <row r="7" spans="1:15" x14ac:dyDescent="0.25">
      <c r="A7" t="s">
        <v>114</v>
      </c>
      <c r="B7">
        <v>12.4</v>
      </c>
      <c r="C7">
        <v>17.2</v>
      </c>
      <c r="D7">
        <v>14.8</v>
      </c>
      <c r="E7">
        <v>14.8</v>
      </c>
      <c r="F7">
        <v>14.8</v>
      </c>
      <c r="G7">
        <v>14.8</v>
      </c>
      <c r="H7">
        <v>8.1</v>
      </c>
      <c r="I7">
        <v>8.1</v>
      </c>
      <c r="J7">
        <v>12.4</v>
      </c>
      <c r="K7">
        <v>12.4</v>
      </c>
      <c r="L7">
        <v>5.8</v>
      </c>
      <c r="M7">
        <v>5.8</v>
      </c>
      <c r="N7">
        <v>5.8</v>
      </c>
      <c r="O7">
        <v>6.4</v>
      </c>
    </row>
    <row r="8" spans="1:15" x14ac:dyDescent="0.25">
      <c r="A8" t="s">
        <v>40</v>
      </c>
      <c r="B8">
        <v>188.7</v>
      </c>
      <c r="C8">
        <v>198.6</v>
      </c>
      <c r="D8">
        <v>198.6</v>
      </c>
      <c r="E8">
        <v>198.6</v>
      </c>
      <c r="F8">
        <v>198.6</v>
      </c>
      <c r="G8">
        <v>198.6</v>
      </c>
      <c r="H8">
        <v>198.6</v>
      </c>
      <c r="I8">
        <v>198.6</v>
      </c>
      <c r="J8">
        <v>188.7</v>
      </c>
      <c r="K8">
        <v>165.2</v>
      </c>
      <c r="L8">
        <v>165.2</v>
      </c>
      <c r="M8">
        <v>160.1</v>
      </c>
      <c r="N8">
        <v>156.1</v>
      </c>
      <c r="O8">
        <v>156.1</v>
      </c>
    </row>
    <row r="9" spans="1:15" x14ac:dyDescent="0.25">
      <c r="A9" t="s">
        <v>111</v>
      </c>
      <c r="B9">
        <v>208.33333333333331</v>
      </c>
      <c r="C9">
        <v>180.55555555555554</v>
      </c>
      <c r="D9">
        <v>180.55555555555554</v>
      </c>
      <c r="E9">
        <v>180.55555555555554</v>
      </c>
      <c r="F9">
        <v>180.55555555555554</v>
      </c>
      <c r="G9">
        <v>180.55555555555554</v>
      </c>
      <c r="H9">
        <v>208.33333333333331</v>
      </c>
      <c r="I9">
        <v>208.33333333333331</v>
      </c>
      <c r="J9">
        <v>208.33333333333331</v>
      </c>
      <c r="K9">
        <v>208.33333333333331</v>
      </c>
      <c r="L9">
        <v>147.22222222222223</v>
      </c>
      <c r="M9">
        <v>91.666666666666671</v>
      </c>
      <c r="N9">
        <v>62.5</v>
      </c>
      <c r="O9">
        <v>45.138888888888886</v>
      </c>
    </row>
    <row r="11" spans="1:15" x14ac:dyDescent="0.25">
      <c r="B11" t="s">
        <v>44</v>
      </c>
      <c r="C11" t="s">
        <v>112</v>
      </c>
      <c r="D11" t="s">
        <v>43</v>
      </c>
      <c r="E11" t="s">
        <v>53</v>
      </c>
      <c r="F11" t="s">
        <v>113</v>
      </c>
      <c r="G11" t="s">
        <v>40</v>
      </c>
      <c r="H11" t="s">
        <v>111</v>
      </c>
    </row>
    <row r="12" spans="1:15" x14ac:dyDescent="0.25">
      <c r="A12" t="s">
        <v>120</v>
      </c>
      <c r="B12">
        <v>135.80000000000001</v>
      </c>
      <c r="C12">
        <v>153.19999999999999</v>
      </c>
      <c r="D12">
        <v>115.7</v>
      </c>
      <c r="E12">
        <v>161.9</v>
      </c>
      <c r="F12">
        <v>139.80000000000001</v>
      </c>
      <c r="G12">
        <v>198.6</v>
      </c>
      <c r="H12">
        <v>180.55555555555554</v>
      </c>
    </row>
    <row r="13" spans="1:15" x14ac:dyDescent="0.25">
      <c r="A13" t="s">
        <v>121</v>
      </c>
      <c r="B13">
        <v>135.80000000000001</v>
      </c>
      <c r="C13">
        <v>153.19999999999999</v>
      </c>
      <c r="D13">
        <v>115.7</v>
      </c>
      <c r="E13">
        <v>161.9</v>
      </c>
      <c r="F13">
        <v>144.4</v>
      </c>
      <c r="G13">
        <v>198.6</v>
      </c>
      <c r="H13">
        <v>180.55555555555554</v>
      </c>
    </row>
    <row r="14" spans="1:15" x14ac:dyDescent="0.25">
      <c r="A14" t="s">
        <v>122</v>
      </c>
      <c r="B14">
        <v>135.80000000000001</v>
      </c>
      <c r="C14">
        <v>153.19999999999999</v>
      </c>
      <c r="D14">
        <v>115.7</v>
      </c>
      <c r="E14">
        <v>161.9</v>
      </c>
      <c r="F14">
        <v>144.4</v>
      </c>
      <c r="G14">
        <v>198.6</v>
      </c>
      <c r="H14">
        <v>180.55555555555554</v>
      </c>
    </row>
    <row r="15" spans="1:15" x14ac:dyDescent="0.25">
      <c r="A15" t="s">
        <v>123</v>
      </c>
      <c r="B15">
        <v>147.30000000000001</v>
      </c>
      <c r="C15">
        <v>153.19999999999999</v>
      </c>
      <c r="D15">
        <v>105.5</v>
      </c>
      <c r="E15">
        <v>145.6</v>
      </c>
      <c r="F15">
        <v>142.30000000000001</v>
      </c>
      <c r="G15">
        <v>198.6</v>
      </c>
      <c r="H15">
        <v>180.55555555555554</v>
      </c>
    </row>
    <row r="16" spans="1:15" x14ac:dyDescent="0.25">
      <c r="A16" t="s">
        <v>142</v>
      </c>
      <c r="B16">
        <v>147.30000000000001</v>
      </c>
      <c r="C16">
        <v>160.1</v>
      </c>
      <c r="D16">
        <v>105.5</v>
      </c>
      <c r="E16">
        <v>145.6</v>
      </c>
      <c r="F16">
        <v>142.30000000000001</v>
      </c>
      <c r="G16">
        <v>198.6</v>
      </c>
      <c r="H16">
        <v>180.55555555555554</v>
      </c>
    </row>
    <row r="17" spans="1:8" x14ac:dyDescent="0.25">
      <c r="A17" t="s">
        <v>124</v>
      </c>
      <c r="B17">
        <v>147.30000000000001</v>
      </c>
      <c r="C17">
        <v>152.80000000000001</v>
      </c>
      <c r="D17">
        <v>105.5</v>
      </c>
      <c r="E17">
        <v>145.6</v>
      </c>
      <c r="F17">
        <v>142.30000000000001</v>
      </c>
      <c r="G17">
        <v>198.6</v>
      </c>
      <c r="H17">
        <v>208.33333333333331</v>
      </c>
    </row>
    <row r="18" spans="1:8" x14ac:dyDescent="0.25">
      <c r="A18" t="s">
        <v>125</v>
      </c>
      <c r="B18">
        <v>134.19999999999999</v>
      </c>
      <c r="C18">
        <v>133</v>
      </c>
      <c r="D18">
        <v>119.3</v>
      </c>
      <c r="E18">
        <v>162.69999999999999</v>
      </c>
      <c r="F18">
        <v>135.4</v>
      </c>
      <c r="G18">
        <v>198.6</v>
      </c>
      <c r="H18">
        <v>208.33333333333331</v>
      </c>
    </row>
    <row r="19" spans="1:8" x14ac:dyDescent="0.25">
      <c r="A19" t="s">
        <v>126</v>
      </c>
      <c r="B19">
        <v>144.80000000000001</v>
      </c>
      <c r="C19">
        <v>133</v>
      </c>
      <c r="D19">
        <v>119.3</v>
      </c>
      <c r="E19">
        <v>160.80000000000001</v>
      </c>
      <c r="F19">
        <v>141.30000000000001</v>
      </c>
      <c r="G19">
        <v>188.7</v>
      </c>
      <c r="H19">
        <v>208.33333333333331</v>
      </c>
    </row>
    <row r="20" spans="1:8" x14ac:dyDescent="0.25">
      <c r="A20" t="s">
        <v>127</v>
      </c>
      <c r="B20">
        <v>144.80000000000001</v>
      </c>
      <c r="C20">
        <v>119.5</v>
      </c>
      <c r="D20">
        <v>127.6</v>
      </c>
      <c r="E20">
        <v>136</v>
      </c>
      <c r="F20">
        <v>141.30000000000001</v>
      </c>
      <c r="G20">
        <v>165.2</v>
      </c>
      <c r="H20">
        <v>208.33333333333331</v>
      </c>
    </row>
    <row r="21" spans="1:8" x14ac:dyDescent="0.25">
      <c r="A21" t="s">
        <v>128</v>
      </c>
      <c r="B21">
        <v>104.6</v>
      </c>
      <c r="C21">
        <v>102.6</v>
      </c>
      <c r="D21">
        <v>70.900000000000006</v>
      </c>
      <c r="E21">
        <v>117.4</v>
      </c>
      <c r="F21">
        <v>97.1</v>
      </c>
      <c r="G21">
        <v>165.2</v>
      </c>
      <c r="H21">
        <v>147.22222222222223</v>
      </c>
    </row>
    <row r="22" spans="1:8" x14ac:dyDescent="0.25">
      <c r="A22" t="s">
        <v>129</v>
      </c>
      <c r="B22">
        <v>100.8</v>
      </c>
      <c r="C22">
        <v>102.6</v>
      </c>
      <c r="D22">
        <v>82.4</v>
      </c>
      <c r="E22">
        <v>106.9</v>
      </c>
      <c r="F22">
        <v>81.5</v>
      </c>
      <c r="G22">
        <v>160.1</v>
      </c>
      <c r="H22">
        <v>91.666666666666671</v>
      </c>
    </row>
    <row r="23" spans="1:8" x14ac:dyDescent="0.25">
      <c r="A23" t="s">
        <v>140</v>
      </c>
      <c r="B23">
        <v>74.3</v>
      </c>
      <c r="C23">
        <v>63.5</v>
      </c>
      <c r="D23">
        <v>67.2</v>
      </c>
      <c r="E23">
        <v>75.8</v>
      </c>
      <c r="F23">
        <v>81.5</v>
      </c>
      <c r="G23">
        <v>156.1</v>
      </c>
      <c r="H23">
        <v>62.5</v>
      </c>
    </row>
    <row r="24" spans="1:8" x14ac:dyDescent="0.25">
      <c r="A24" t="s">
        <v>141</v>
      </c>
      <c r="B24">
        <v>92.5</v>
      </c>
      <c r="C24">
        <v>64.5</v>
      </c>
      <c r="D24">
        <v>51.7</v>
      </c>
      <c r="E24">
        <v>82.7</v>
      </c>
      <c r="F24">
        <v>66.400000000000006</v>
      </c>
      <c r="G24">
        <v>156.1</v>
      </c>
      <c r="H24">
        <v>45.138888888888886</v>
      </c>
    </row>
  </sheetData>
  <sheetProtection password="A39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Authors</vt:lpstr>
      <vt:lpstr>Pre-evaluation</vt:lpstr>
      <vt:lpstr>Parameter</vt:lpstr>
      <vt:lpstr>STC Benchmark</vt:lpstr>
      <vt:lpstr>SFH - Thermal needs</vt:lpstr>
      <vt:lpstr>MFH - Thermal needs</vt:lpstr>
      <vt:lpstr>BA - Thermal needs</vt:lpstr>
      <vt:lpstr>Plot</vt:lpstr>
      <vt:lpstr>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 Joly "Sorane SA, Ecublens"</cp:lastModifiedBy>
  <dcterms:created xsi:type="dcterms:W3CDTF">2016-03-22T08:58:22Z</dcterms:created>
  <dcterms:modified xsi:type="dcterms:W3CDTF">2018-06-15T09:01:07Z</dcterms:modified>
</cp:coreProperties>
</file>